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80" windowWidth="24240" windowHeight="11655" tabRatio="553" activeTab="3"/>
  </bookViews>
  <sheets>
    <sheet name="адресный список" sheetId="134" r:id="rId1"/>
    <sheet name="Комсомола 14" sheetId="35" r:id="rId2"/>
    <sheet name="Королева 21 к1" sheetId="18" r:id="rId3"/>
    <sheet name="ВШ 17 к1" sheetId="31" r:id="rId4"/>
    <sheet name="ВШ 17 к2" sheetId="32" r:id="rId5"/>
    <sheet name="ВШ 17 к3" sheetId="33" r:id="rId6"/>
    <sheet name="ВШ 17к4" sheetId="34" r:id="rId7"/>
    <sheet name="Просвещение 15" sheetId="29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G37" i="31" l="1"/>
  <c r="I37" i="31"/>
  <c r="I34" i="31" s="1"/>
  <c r="I38" i="31"/>
  <c r="I39" i="31"/>
  <c r="I40" i="31"/>
  <c r="I36" i="31"/>
  <c r="G34" i="31"/>
  <c r="H34" i="31"/>
  <c r="E26" i="32" l="1"/>
  <c r="E34" i="32"/>
  <c r="E17" i="32"/>
  <c r="E13" i="32"/>
  <c r="E11" i="32" s="1"/>
  <c r="E47" i="32" s="1"/>
  <c r="E44" i="32"/>
  <c r="E45" i="31" l="1"/>
  <c r="H44" i="31"/>
  <c r="H41" i="31"/>
  <c r="H31" i="31"/>
  <c r="H12" i="31"/>
  <c r="H10" i="31" s="1"/>
  <c r="G12" i="31"/>
  <c r="G44" i="31"/>
  <c r="G10" i="31"/>
  <c r="F12" i="31"/>
  <c r="I12" i="31" s="1"/>
  <c r="I10" i="31" s="1"/>
  <c r="I44" i="31" s="1"/>
  <c r="E10" i="31"/>
  <c r="E44" i="31" s="1"/>
  <c r="D44" i="31"/>
  <c r="J26" i="31"/>
  <c r="G26" i="31"/>
  <c r="J40" i="31"/>
  <c r="J39" i="31"/>
  <c r="J38" i="31"/>
  <c r="J36" i="31"/>
  <c r="J37" i="31"/>
  <c r="G41" i="31"/>
  <c r="J41" i="31" s="1"/>
  <c r="J31" i="31"/>
  <c r="J29" i="31"/>
  <c r="J23" i="31"/>
  <c r="J21" i="31"/>
  <c r="J19" i="31"/>
  <c r="J18" i="31"/>
  <c r="J17" i="31"/>
  <c r="J12" i="31"/>
  <c r="J10" i="31" s="1"/>
  <c r="J16" i="31"/>
  <c r="J15" i="31"/>
  <c r="E26" i="31"/>
  <c r="E41" i="31"/>
  <c r="E34" i="31"/>
  <c r="E12" i="31"/>
  <c r="J43" i="31"/>
  <c r="D43" i="31"/>
  <c r="K44" i="31"/>
  <c r="J34" i="31" l="1"/>
  <c r="J44" i="31"/>
  <c r="F10" i="31"/>
  <c r="F44" i="31" s="1"/>
  <c r="M36" i="29"/>
  <c r="M35" i="29"/>
  <c r="M34" i="29"/>
  <c r="M33" i="29"/>
  <c r="M32" i="29"/>
  <c r="M31" i="29"/>
  <c r="M30" i="29"/>
  <c r="E38" i="29"/>
  <c r="J35" i="29" s="1"/>
  <c r="E37" i="29"/>
  <c r="J36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13" i="29"/>
  <c r="J11" i="29" s="1"/>
  <c r="J37" i="29" s="1"/>
  <c r="J38" i="29"/>
  <c r="F19" i="29"/>
  <c r="F23" i="29"/>
  <c r="I23" i="29" s="1"/>
  <c r="F35" i="29"/>
  <c r="I35" i="29" s="1"/>
  <c r="I14" i="29"/>
  <c r="I15" i="29"/>
  <c r="I16" i="29"/>
  <c r="I17" i="29"/>
  <c r="I18" i="29"/>
  <c r="I19" i="29"/>
  <c r="I20" i="29"/>
  <c r="I21" i="29"/>
  <c r="I22" i="29"/>
  <c r="I24" i="29"/>
  <c r="I25" i="29"/>
  <c r="I26" i="29"/>
  <c r="I27" i="29"/>
  <c r="I28" i="29"/>
  <c r="I13" i="29"/>
  <c r="I29" i="29"/>
  <c r="I36" i="29"/>
  <c r="I33" i="29"/>
  <c r="I31" i="29"/>
  <c r="M41" i="31" l="1"/>
  <c r="M39" i="31"/>
  <c r="M31" i="31"/>
  <c r="M26" i="31"/>
  <c r="M22" i="31"/>
  <c r="M19" i="31"/>
  <c r="M17" i="31"/>
  <c r="M15" i="31"/>
  <c r="M42" i="31"/>
  <c r="M40" i="31"/>
  <c r="M38" i="31"/>
  <c r="M36" i="31"/>
  <c r="M29" i="31"/>
  <c r="M23" i="31"/>
  <c r="M21" i="31"/>
  <c r="M18" i="31"/>
  <c r="M16" i="31"/>
  <c r="M12" i="31"/>
  <c r="M10" i="31" s="1"/>
  <c r="M43" i="31"/>
  <c r="J45" i="31"/>
  <c r="M37" i="31"/>
  <c r="I11" i="29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13" i="18"/>
  <c r="M11" i="18" s="1"/>
  <c r="M35" i="18" s="1"/>
  <c r="M34" i="31" l="1"/>
  <c r="M44" i="31" s="1"/>
  <c r="J34" i="29"/>
  <c r="J33" i="29"/>
  <c r="J32" i="29"/>
  <c r="J31" i="29"/>
  <c r="J29" i="29" s="1"/>
  <c r="E13" i="29"/>
  <c r="D44" i="35" l="1"/>
  <c r="D42" i="35"/>
  <c r="D43" i="35"/>
  <c r="D35" i="35"/>
  <c r="D10" i="35"/>
  <c r="D38" i="35"/>
  <c r="D39" i="35"/>
  <c r="D40" i="35"/>
  <c r="D41" i="35"/>
  <c r="D37" i="35"/>
  <c r="E35" i="35"/>
  <c r="F35" i="35"/>
  <c r="G35" i="35"/>
  <c r="H35" i="35"/>
  <c r="I35" i="35"/>
  <c r="J35" i="35"/>
  <c r="K35" i="35"/>
  <c r="J28" i="35"/>
  <c r="J12" i="35"/>
  <c r="K39" i="35" l="1"/>
  <c r="D35" i="18"/>
  <c r="D11" i="18"/>
  <c r="D33" i="18"/>
  <c r="D32" i="18"/>
  <c r="D31" i="18"/>
  <c r="D30" i="18"/>
  <c r="D29" i="18"/>
  <c r="D28" i="18"/>
  <c r="D27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E25" i="18"/>
  <c r="F25" i="18"/>
  <c r="G25" i="18"/>
  <c r="H25" i="18"/>
  <c r="I25" i="18"/>
  <c r="J25" i="18"/>
  <c r="K25" i="18"/>
  <c r="D25" i="18"/>
  <c r="D11" i="29" l="1"/>
  <c r="C11" i="29"/>
  <c r="E11" i="29"/>
  <c r="F11" i="29"/>
  <c r="F37" i="29" s="1"/>
  <c r="G11" i="29"/>
  <c r="G37" i="29" s="1"/>
  <c r="I37" i="29"/>
  <c r="H11" i="29"/>
  <c r="H37" i="29" s="1"/>
  <c r="C41" i="35"/>
  <c r="C39" i="35"/>
  <c r="C38" i="35"/>
  <c r="C37" i="35"/>
  <c r="C40" i="35" s="1"/>
  <c r="C43" i="34"/>
  <c r="C41" i="34"/>
  <c r="C40" i="34"/>
  <c r="C39" i="34"/>
  <c r="C42" i="34" s="1"/>
  <c r="C10" i="31" l="1"/>
  <c r="B12" i="31" l="1"/>
  <c r="D10" i="31" l="1"/>
  <c r="E11" i="18" l="1"/>
  <c r="E35" i="18" s="1"/>
  <c r="B32" i="18"/>
  <c r="F11" i="18"/>
  <c r="F35" i="18" s="1"/>
  <c r="G11" i="18"/>
  <c r="G35" i="18" s="1"/>
  <c r="B51" i="34"/>
  <c r="B51" i="33"/>
  <c r="K11" i="33"/>
  <c r="C11" i="33"/>
  <c r="B51" i="32"/>
  <c r="K11" i="32"/>
  <c r="K47" i="32" s="1"/>
  <c r="C11" i="32"/>
  <c r="C47" i="32" s="1"/>
  <c r="J11" i="18" l="1"/>
  <c r="H11" i="18"/>
  <c r="H35" i="18" s="1"/>
  <c r="I11" i="18"/>
  <c r="I35" i="18" s="1"/>
  <c r="D11" i="32"/>
  <c r="D47" i="32" s="1"/>
  <c r="J11" i="32"/>
  <c r="J48" i="32" s="1"/>
  <c r="D11" i="33"/>
  <c r="D47" i="33" s="1"/>
  <c r="J11" i="33"/>
  <c r="J48" i="33" s="1"/>
  <c r="K10" i="35"/>
  <c r="C10" i="35"/>
  <c r="E10" i="35"/>
  <c r="F10" i="35"/>
  <c r="H10" i="35"/>
  <c r="G10" i="35"/>
  <c r="G44" i="35" s="1"/>
  <c r="F44" i="35" l="1"/>
  <c r="H44" i="35"/>
  <c r="K44" i="35"/>
  <c r="E44" i="35"/>
  <c r="I10" i="35"/>
  <c r="I44" i="35" l="1"/>
  <c r="J10" i="35" l="1"/>
  <c r="D45" i="35" l="1"/>
  <c r="J44" i="35"/>
  <c r="J46" i="35" s="1"/>
  <c r="D36" i="18" l="1"/>
  <c r="B44" i="34"/>
  <c r="H11" i="34"/>
  <c r="G11" i="34"/>
  <c r="G47" i="34" s="1"/>
  <c r="F11" i="34"/>
  <c r="E11" i="34"/>
  <c r="E47" i="34" s="1"/>
  <c r="F47" i="34" l="1"/>
  <c r="H47" i="34"/>
  <c r="I11" i="34"/>
  <c r="I47" i="34" l="1"/>
  <c r="J35" i="18"/>
  <c r="B44" i="33" l="1"/>
  <c r="H11" i="33"/>
  <c r="G11" i="33"/>
  <c r="F11" i="33"/>
  <c r="E11" i="33"/>
  <c r="G47" i="33" l="1"/>
  <c r="H47" i="33"/>
  <c r="E47" i="33"/>
  <c r="F47" i="33"/>
  <c r="I11" i="33"/>
  <c r="I47" i="33" l="1"/>
  <c r="B44" i="32" l="1"/>
  <c r="H11" i="32"/>
  <c r="G11" i="32"/>
  <c r="F11" i="32"/>
  <c r="F47" i="32" s="1"/>
  <c r="G47" i="32" l="1"/>
  <c r="H47" i="32"/>
  <c r="I11" i="32"/>
  <c r="I47" i="32" s="1"/>
  <c r="J11" i="34" l="1"/>
  <c r="D11" i="34" s="1"/>
  <c r="D47" i="34" s="1"/>
  <c r="J48" i="34" l="1"/>
  <c r="M15" i="29"/>
  <c r="M19" i="29"/>
  <c r="M23" i="29"/>
  <c r="M27" i="29"/>
  <c r="M16" i="29"/>
  <c r="M20" i="29"/>
  <c r="M24" i="29"/>
  <c r="M28" i="29"/>
  <c r="M17" i="29"/>
  <c r="M21" i="29"/>
  <c r="M25" i="29"/>
  <c r="M14" i="29"/>
  <c r="M18" i="29"/>
  <c r="M22" i="29"/>
  <c r="M26" i="29"/>
  <c r="M13" i="29"/>
  <c r="M11" i="29" s="1"/>
  <c r="M37" i="29" s="1"/>
  <c r="M29" i="29"/>
</calcChain>
</file>

<file path=xl/sharedStrings.xml><?xml version="1.0" encoding="utf-8"?>
<sst xmlns="http://schemas.openxmlformats.org/spreadsheetml/2006/main" count="690" uniqueCount="218">
  <si>
    <t>ПЕРЕЙТИ К ПРОСМОТРУ</t>
  </si>
  <si>
    <t>ВЕРНУТЬСЯ К ПРОСМОТРУ СПИСКА МКД</t>
  </si>
  <si>
    <t>Уборка лестничных клеток</t>
  </si>
  <si>
    <t>Очистка мусоропровода</t>
  </si>
  <si>
    <t>руб</t>
  </si>
  <si>
    <t>ул. Комсомола, 14, корп. 2</t>
  </si>
  <si>
    <t>пр. Королева, 21, корп. 1</t>
  </si>
  <si>
    <t>Выборгское шоссе, 17, корп. 1</t>
  </si>
  <si>
    <t>Выборгское шоссе, 17, корп. 2</t>
  </si>
  <si>
    <t>Выборгское шоссе, 17, корп. 3</t>
  </si>
  <si>
    <t>Выборгское шоссе, 17, корп. 4</t>
  </si>
  <si>
    <t>пр. Просвещения, 15</t>
  </si>
  <si>
    <t>ООО "Пионер-Сервис"</t>
  </si>
  <si>
    <t>ООО "Пионер-Сервис ШУВАЛОВО"</t>
  </si>
  <si>
    <t>ООО "Пионер-Сервис ПАРГОЛОВО"</t>
  </si>
  <si>
    <t>ООО "Пионер-Сервис ЙЕС"</t>
  </si>
  <si>
    <t>Статья доходов</t>
  </si>
  <si>
    <t>Доходы-Расходы</t>
  </si>
  <si>
    <t>Поступления - Оплачено, руб.</t>
  </si>
  <si>
    <t>Начислено собственникам помещений</t>
  </si>
  <si>
    <t>Затраты Управляющей компании</t>
  </si>
  <si>
    <t xml:space="preserve">Оплачено собственниками помещений                                </t>
  </si>
  <si>
    <t>Оплачено Управляющей компанией поставщикам и подрядчикам</t>
  </si>
  <si>
    <t xml:space="preserve"> Жилищные услуги, всего</t>
  </si>
  <si>
    <t>в том числе:</t>
  </si>
  <si>
    <t>Содержание общего имущества в многоквартирном доме (в т.ч. вывоз и утилизация твердых бытовых отходов)</t>
  </si>
  <si>
    <t xml:space="preserve">Текущий ремонт общего имущества  
в многоквартирном доме </t>
  </si>
  <si>
    <t>Уборка лестничных клеток, паркинга</t>
  </si>
  <si>
    <t xml:space="preserve">Уборка и санитарно-гигиеническая очистка
земельного участка, входящего в состав общего
имущества
</t>
  </si>
  <si>
    <t>Видеонаблюдение</t>
  </si>
  <si>
    <t>Содержание и ремонт переговорно-замочного устройства (ПЗУ), (домофона), видеонаблюдение</t>
  </si>
  <si>
    <t>Содержание и ремонт систем автоматизированной противопожарной защиты (АППЗ) и вентиляции.</t>
  </si>
  <si>
    <t>Содержание и текущий ремонт лифтов</t>
  </si>
  <si>
    <t>Охрана территории и организация пропускного режима</t>
  </si>
  <si>
    <t>Обслуживание системы телевидения</t>
  </si>
  <si>
    <t>Эксплуатация коллективных (общедомовых) приборов учета используемых энергетических ресурсов  (УУТЭ), обслуживание ИТП</t>
  </si>
  <si>
    <t>Радио</t>
  </si>
  <si>
    <t>Диспетчерская служба</t>
  </si>
  <si>
    <t>Обслуживание систем диспетчеризации комплекса</t>
  </si>
  <si>
    <t>Сбор и вывоз КГМ и строительного мусора, упаковки</t>
  </si>
  <si>
    <t>Коммунальные услуги, всего</t>
  </si>
  <si>
    <t>Горячее водоснабжение</t>
  </si>
  <si>
    <t>84,48 руб./м3</t>
  </si>
  <si>
    <t xml:space="preserve">Отопление </t>
  </si>
  <si>
    <t>1 408,01 руб./Гкал</t>
  </si>
  <si>
    <t xml:space="preserve">Холодное  водоснабжение </t>
  </si>
  <si>
    <t>21,03 руб./м3</t>
  </si>
  <si>
    <t>Водоотведение и канализование сточных вод</t>
  </si>
  <si>
    <t xml:space="preserve">Эл/энергия  МОП </t>
  </si>
  <si>
    <t xml:space="preserve">Административно-управленческие расходы </t>
  </si>
  <si>
    <t>Услуги  банка по приему денежных средств от населения</t>
  </si>
  <si>
    <t>ИТОГО по жилому дому</t>
  </si>
  <si>
    <t>жилой дом: пр. Просвещения, дом 15</t>
  </si>
  <si>
    <t>Прибыль / Убыток Управляющей компании (по начислению)</t>
  </si>
  <si>
    <t>Уборка и санитарно-гигиеническая очистка
земельного участка, входящего в состав общего
имущества</t>
  </si>
  <si>
    <t>Прибыль / Убыток Управляющей компании</t>
  </si>
  <si>
    <t>Аварийное обслуживание</t>
  </si>
  <si>
    <t>Содержание и ремонт переговорно-замочного устройства (ПЗУ), (домофона)</t>
  </si>
  <si>
    <t>АППЗ (Содержание и ремонт систем автоматизированной противопожарной защиты)</t>
  </si>
  <si>
    <t>Содержание, текущий ремонт и страхование лифтов</t>
  </si>
  <si>
    <t>Обслуживание системы телевидения , руб/точка</t>
  </si>
  <si>
    <r>
      <t>жилой дом:</t>
    </r>
    <r>
      <rPr>
        <b/>
        <sz val="10"/>
        <color theme="1"/>
        <rFont val="Arial"/>
        <family val="2"/>
        <charset val="204"/>
      </rPr>
      <t xml:space="preserve"> Выборгское шоссе, дом 17 корпус 2</t>
    </r>
  </si>
  <si>
    <t>Исполнитель услуг, состав работ</t>
  </si>
  <si>
    <t xml:space="preserve"> Основание</t>
  </si>
  <si>
    <r>
      <t xml:space="preserve">ООО "Пионер-Сервис ПАРГОЛОВО" </t>
    </r>
    <r>
      <rPr>
        <i/>
        <sz val="10"/>
        <color theme="1"/>
        <rFont val="Arial"/>
        <family val="2"/>
        <charset val="204"/>
      </rPr>
      <t>(материалы, инструменты для проведения работ; фонд оплаты труда и налоги сантехника, электрика; технический контроль, диспетчерское обслуживание, работы подрядчиков в рамках данной статьи затрат)</t>
    </r>
  </si>
  <si>
    <t xml:space="preserve">Договор Управления </t>
  </si>
  <si>
    <r>
      <t xml:space="preserve">ООО "Кондор+" </t>
    </r>
    <r>
      <rPr>
        <i/>
        <sz val="10"/>
        <color theme="1"/>
        <rFont val="Arial"/>
        <family val="2"/>
        <charset val="204"/>
      </rPr>
      <t>(Вывоз и утилизация ТБО и КГМ)</t>
    </r>
  </si>
  <si>
    <t xml:space="preserve"> Дог. №Д- 01-10-13/330 от 01.11.13 г.</t>
  </si>
  <si>
    <r>
      <t xml:space="preserve">НОУ ДПО  Кварта </t>
    </r>
    <r>
      <rPr>
        <i/>
        <sz val="10"/>
        <color theme="1"/>
        <rFont val="Arial"/>
        <family val="2"/>
        <charset val="204"/>
      </rPr>
      <t>(Профильное обучение персонала на объекте)</t>
    </r>
  </si>
  <si>
    <t>Договор оказания услуг</t>
  </si>
  <si>
    <r>
      <t xml:space="preserve">ООО "Проф-Мастер" </t>
    </r>
    <r>
      <rPr>
        <i/>
        <sz val="10"/>
        <color theme="1"/>
        <rFont val="Arial"/>
        <family val="2"/>
        <charset val="204"/>
      </rPr>
      <t>(Аварийное обслуживание)</t>
    </r>
  </si>
  <si>
    <t>Дог. № ПСП от 01.01.2014 г., Дог. № ПС-1 от 17.06.2013 г.</t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</si>
  <si>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уборщицы) 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</si>
  <si>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дворника) </t>
    </r>
  </si>
  <si>
    <t>ООО "Сайлекс"</t>
  </si>
  <si>
    <t xml:space="preserve"> Дог. № 43-Т от 01.09.13 г.</t>
  </si>
  <si>
    <r>
      <t xml:space="preserve">ООО "Пионер-Сервис ПАРГОЛОВО" 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</si>
  <si>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t xml:space="preserve">ООО "ПТЦ" </t>
  </si>
  <si>
    <t>Дог. 13/14 от 25.11.2014 г.</t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</si>
  <si>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>(осуществление технического контроля, частичное выполнение работ)</t>
    </r>
  </si>
  <si>
    <r>
      <t xml:space="preserve">ОТИС Лифт, </t>
    </r>
    <r>
      <rPr>
        <i/>
        <sz val="10"/>
        <color theme="1"/>
        <rFont val="Arial"/>
        <family val="2"/>
        <charset val="204"/>
      </rPr>
      <t xml:space="preserve">  ООО "БЛС" (т/о лифтов) </t>
    </r>
  </si>
  <si>
    <t xml:space="preserve"> Дог. № В70РЕ-007935 от 10.10.2013 г,  Дог. № 48/1 от 27.08.2013 г.</t>
  </si>
  <si>
    <r>
      <t xml:space="preserve"> ЗАО "АИГ" </t>
    </r>
    <r>
      <rPr>
        <i/>
        <sz val="10"/>
        <color theme="1"/>
        <rFont val="Arial"/>
        <family val="2"/>
        <charset val="204"/>
      </rPr>
      <t>(Страхование лифтов)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</si>
  <si>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</si>
  <si>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(Консъержи), Охранная организация "Карат Сервис" (охрана, тревожные кнопки) </t>
    </r>
  </si>
  <si>
    <t xml:space="preserve">Договор Управления, Дог. № КД/324 от 01.07.2013 </t>
  </si>
  <si>
    <t>ОАО "Теликс"</t>
  </si>
  <si>
    <t>Дог. № ТП-01/08-13 от 01.08.2013 г.</t>
  </si>
  <si>
    <t>ООО "Квант  СПб", ООО "ПИОНЕР"</t>
  </si>
  <si>
    <t>Соглашение №2 от 31.07.2013 г.</t>
  </si>
  <si>
    <t xml:space="preserve">            ООО "Пионер-Инвест"; ГУП "ТЭК СПБ"</t>
  </si>
  <si>
    <t xml:space="preserve">Соглашение о возмещении затрат от 01.08.13г. №4/2013-ПСШ; Договор теплоснабжения от 01.10.12г. </t>
  </si>
  <si>
    <t>ООО "Пионер-Инвест"; ГУП "ВОДОКАНАЛ СПБ"</t>
  </si>
  <si>
    <t xml:space="preserve">Соглашение о возмещении затрат от 01.08.13г. №4/2013-ПСШ; </t>
  </si>
  <si>
    <t>2,49 руб./кВт-ч; 1,50 руб./кВт-ч</t>
  </si>
  <si>
    <t>ОАО "ПСК"</t>
  </si>
  <si>
    <t>Соглашение от 31.07.13г. №1 ; Договор электроснабжения от 15.08.12г. (ДС №2 от 19.09.12г.)</t>
  </si>
  <si>
    <r>
      <t xml:space="preserve">ООО "Пионер-Сервис ПАРГОЛОВО"  </t>
    </r>
    <r>
      <rPr>
        <i/>
        <sz val="9"/>
        <color theme="1"/>
        <rFont val="Arial"/>
        <family val="2"/>
        <charset val="204"/>
      </rPr>
      <t>(Штатное расписание; Договор банковского счета; Договоры на поддержку Veb-сайта, программы начисления ЖКУ и других программ; Договоры на предоставление услуг телефонной связи и интернета; Оплата счетов на поставку оборудования и расходных материалов и предоставления услуг)</t>
    </r>
  </si>
  <si>
    <t xml:space="preserve">ПАО "БАНК САНКТ ПЕТЕРБУРГ";   </t>
  </si>
  <si>
    <t xml:space="preserve">Договор приема платежей от населения </t>
  </si>
  <si>
    <t xml:space="preserve">Прочие услуги </t>
  </si>
  <si>
    <r>
      <t>жилой дом:</t>
    </r>
    <r>
      <rPr>
        <b/>
        <sz val="10"/>
        <color theme="1"/>
        <rFont val="Arial"/>
        <family val="2"/>
        <charset val="204"/>
      </rPr>
      <t xml:space="preserve"> Выборгское шоссе, дом 17 корпус 3</t>
    </r>
  </si>
  <si>
    <r>
      <t>жилой дом:</t>
    </r>
    <r>
      <rPr>
        <b/>
        <sz val="10"/>
        <color theme="1"/>
        <rFont val="Arial"/>
        <family val="2"/>
        <charset val="204"/>
      </rPr>
      <t xml:space="preserve"> пр. Королева 21, кор.1</t>
    </r>
  </si>
  <si>
    <t>ООО "Кондор+",  Дог. №Д- 01-10-/318 от 01.11.13 г.(ТБО); НОУ ДПО  Кварта (Профильное обучение персонала на объекте); ООО "ПИОНЕР-СЕРВИС" (материалы, инструменты для проведения работ; фонд оплаты труда и налоги сантехника, электрика; работы подрядчиков в рамках данной статьи затрат)</t>
  </si>
  <si>
    <t>ООО "РУСИНВЕСТПРОЕКТ",  Дог. № 18/06/14 от 18.06.2014 г.; ООО "МаксСтрой" (витражные окна - 1 200 000 р), Дог. № 30 от 14.07.2014 г.</t>
  </si>
  <si>
    <t>Аварийное обслуживание и диспетчеризация</t>
  </si>
  <si>
    <t>ООО "ПрофМастер" , Дог. № ПС-1 от 17.06.2013 г.</t>
  </si>
  <si>
    <t>ООО "ПИОНЕР-СЕРВИС"  (материалы, инструменты для проведения работ; фонд оплаты труда и налоги 2-х уборщиц)</t>
  </si>
  <si>
    <t>ООО "ПИОНЕР-СЕРВИС"  (материалы, инструменты для проведения работ; фонд оплаты труда и налоги дворника)</t>
  </si>
  <si>
    <t>ООО "Сайлекс", Дог. № 29-Т от 01.06.12 г.; Дог.  № 238/14 от 05.11.2014 г.</t>
  </si>
  <si>
    <t>АППЗ (Содержание и ремонт систем автоматизированной противопожарной защиты</t>
  </si>
  <si>
    <t>ООО "Омега- Строй",  Дог. № 06/12-ТО от 01.11.2012 г.</t>
  </si>
  <si>
    <t>ОТИС Лифт,  Дог. № В7ОРЕ-007933 от 10.10.2013 г (т/о лифтов); ЗАО "АИГ" (Страхование лифтов)</t>
  </si>
  <si>
    <t>Охранная организация "МЕГАПОЛИС" , Дог. М/004 от 01.03.2014 г.; Охранная организация "Карат Сервис",  Дог. № КД/324 от 01.07.2013 г.</t>
  </si>
  <si>
    <t>Обслуживание системы телевидения, руб / квартира</t>
  </si>
  <si>
    <t>ОАО "Интеграл Сервис"</t>
  </si>
  <si>
    <t xml:space="preserve"> ООО "Квант  СПб", Дог. № ТЦ-ПСК/14 от 13.01.2014 г</t>
  </si>
  <si>
    <t>Радио, руб / квартира</t>
  </si>
  <si>
    <t>ФГУП РС СП "Северный РТУ", Дог. № 11-1735 от 24.01.2008 г</t>
  </si>
  <si>
    <t>ГУП "Водоканал СПб", Договор от 19.09.11г. №10-57074-ЖФ-ВС; от 08.06.12г. №10-593351-ЖФ-ВО</t>
  </si>
  <si>
    <r>
      <t xml:space="preserve">ООО "Пионер-Сервис"  </t>
    </r>
    <r>
      <rPr>
        <i/>
        <sz val="9"/>
        <color theme="1"/>
        <rFont val="Arial"/>
        <family val="2"/>
        <charset val="204"/>
      </rPr>
      <t>(Штатное расписание; Договор банковского счета; Договоры на поддержку Veb-сайта, программы начисления ЖКУ и других программ; Договоры на предоставление услуг телефонной связи и интернета; Оплата счетов на поставку оборудования и расходных материалов и предоставления услуг)</t>
    </r>
  </si>
  <si>
    <t xml:space="preserve">ЗАО "ЭКСИ-банк";   Договор приема платежей от населения </t>
  </si>
  <si>
    <r>
      <t>жилой дом:</t>
    </r>
    <r>
      <rPr>
        <b/>
        <sz val="10"/>
        <color theme="1"/>
        <rFont val="Arial"/>
        <family val="2"/>
        <charset val="204"/>
      </rPr>
      <t xml:space="preserve"> Выборгское шоссе, дом 17 корпус 4</t>
    </r>
  </si>
  <si>
    <t>Остаток денежных средств на начало периода</t>
  </si>
  <si>
    <t>Остаток денежных средств на конец периода</t>
  </si>
  <si>
    <t>Задолженность управляющей компании перед ресурсоснабжающими организациями за коммунальные ресурсы</t>
  </si>
  <si>
    <r>
      <t>Задолженность собственников за предоставленные коммунальные услуги</t>
    </r>
    <r>
      <rPr>
        <sz val="10"/>
        <rFont val="Arial"/>
        <family val="2"/>
        <charset val="204"/>
      </rPr>
      <t xml:space="preserve"> (на начало периода)</t>
    </r>
  </si>
  <si>
    <r>
      <t>Задолженность собственников за предоставленные коммунальные услуги</t>
    </r>
    <r>
      <rPr>
        <sz val="10"/>
        <rFont val="Arial"/>
        <family val="2"/>
        <charset val="204"/>
      </rPr>
      <t xml:space="preserve"> (на конец периода)</t>
    </r>
  </si>
  <si>
    <t>Объем потребления коммунальных ресурсов</t>
  </si>
  <si>
    <r>
      <t xml:space="preserve">Тариф 2014 г, руб./кв.м </t>
    </r>
    <r>
      <rPr>
        <sz val="10"/>
        <rFont val="Arial"/>
        <family val="2"/>
        <charset val="204"/>
      </rPr>
      <t>(КВАРТИРЫ),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на основании Протокола решения собственников от 08 декабря 2014 года.</t>
    </r>
  </si>
  <si>
    <t>Исполнитель услуг</t>
  </si>
  <si>
    <t>ООО "Центр ипотечных кредитов", Договор № 1/ЦИК управления многоквартирным жилым домом</t>
  </si>
  <si>
    <t>ООО "Охранная организация "МЕГАПОЛИС"</t>
  </si>
  <si>
    <t>ООО "Теликс"</t>
  </si>
  <si>
    <t>ООО "Кондор+"</t>
  </si>
  <si>
    <t xml:space="preserve">ООО "Пионер-Сервис ЙЕС",  ООО "Кондор +" - вывоз ТБО, ООО "ПрофМастер" - аварийное обслуживание. </t>
  </si>
  <si>
    <t>ООО "Пожарно-технический центр"</t>
  </si>
  <si>
    <t>ООО "ОТИС Лифт", ЗАО "РОСДИАГНОСТИКА"</t>
  </si>
  <si>
    <t xml:space="preserve">ООО "Пионер-Сервис ЙЕС",  ООО "Городская Дезинфекционная Станция" </t>
  </si>
  <si>
    <t>ОАО "Банк "Санкт-Петербург"</t>
  </si>
  <si>
    <r>
      <t>Задолженность собственников за предоставленные коммунальные услуги</t>
    </r>
    <r>
      <rPr>
        <sz val="10"/>
        <color rgb="FF000000"/>
        <rFont val="Arial"/>
        <family val="2"/>
        <charset val="204"/>
      </rPr>
      <t xml:space="preserve"> (на начало периода)</t>
    </r>
  </si>
  <si>
    <t>ВСЕГО по жилому дому</t>
  </si>
  <si>
    <t>ИНФОРМАЦИЯ</t>
  </si>
  <si>
    <t>Прочие услуги</t>
  </si>
  <si>
    <t>Задолженность управляющей компании за предоставленные коммунальные ресурсы</t>
  </si>
  <si>
    <r>
      <t>Задолженность собственников за предоставленные коммунальные услуги</t>
    </r>
    <r>
      <rPr>
        <sz val="10"/>
        <color rgb="FF000000"/>
        <rFont val="Arial"/>
        <family val="2"/>
        <charset val="204"/>
      </rPr>
      <t xml:space="preserve"> (на конец периода)</t>
    </r>
  </si>
  <si>
    <t xml:space="preserve">ОАО "ПЭС", Договор электроснабжения от 11.03.09г. № 34164 </t>
  </si>
  <si>
    <r>
      <t>жилой дом:</t>
    </r>
    <r>
      <rPr>
        <b/>
        <sz val="10"/>
        <color theme="1"/>
        <rFont val="Arial"/>
        <family val="2"/>
        <charset val="204"/>
      </rPr>
      <t xml:space="preserve"> ул. Комсомола, дом 14, корпус 2</t>
    </r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</si>
  <si>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(материалы, инструменты для проведения работ; фонд оплаты труда и налоги сантехника, электрика; технический контроль, диспетчерское обслуживание, работы подрядчиков в рамках данной статьи затрат)</t>
    </r>
  </si>
  <si>
    <t xml:space="preserve"> Дог. №Д- 01-10-/318 от 01.11.13 г.</t>
  </si>
  <si>
    <t xml:space="preserve">ООО "Пионер-Сервис" 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</si>
  <si>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уборщицы) </t>
    </r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</si>
  <si>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дворника) </t>
    </r>
  </si>
  <si>
    <t xml:space="preserve"> Дог. № 25-Т от 01.12.11 г.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</si>
  <si>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</si>
  <si>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t xml:space="preserve"> Дог. № 26-Т от 01.12.11 г.</t>
  </si>
  <si>
    <t xml:space="preserve">ООО "ПРОФИНВЕСТ" </t>
  </si>
  <si>
    <t xml:space="preserve"> Дог. б/н от 02.10.2014 г.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</si>
  <si>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(осуществление технического контроля, частичное выполнение работ)</t>
    </r>
  </si>
  <si>
    <r>
      <t xml:space="preserve">ОТИС Лифт, </t>
    </r>
    <r>
      <rPr>
        <i/>
        <sz val="10"/>
        <color theme="1"/>
        <rFont val="Arial"/>
        <family val="2"/>
        <charset val="204"/>
      </rPr>
      <t xml:space="preserve"> (т/о лифтов)</t>
    </r>
  </si>
  <si>
    <t xml:space="preserve"> Дог. № В70РЕ-003440 от 12.02.2010 г</t>
  </si>
  <si>
    <t xml:space="preserve">ЧОО " СаВаСПб" </t>
  </si>
  <si>
    <t>Договор № 01\14 от 01.10.14</t>
  </si>
  <si>
    <r>
      <t xml:space="preserve">Охранная организация "Карат Сервис" </t>
    </r>
    <r>
      <rPr>
        <i/>
        <sz val="11"/>
        <color theme="1"/>
        <rFont val="Calibri"/>
        <family val="2"/>
        <charset val="204"/>
        <scheme val="minor"/>
      </rPr>
      <t/>
    </r>
  </si>
  <si>
    <t xml:space="preserve">  Дог. № КД/324 от 01.07.2013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</si>
  <si>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(Консъержи)</t>
    </r>
  </si>
  <si>
    <t>ОАО "Ростелеком"</t>
  </si>
  <si>
    <t xml:space="preserve"> Дог. № А-2-3/04-5-30963 от 23.11.2011 г</t>
  </si>
  <si>
    <t>ООО "Квант  СПб"</t>
  </si>
  <si>
    <r>
      <t xml:space="preserve">Дог. № ТЦ-12/12 от 01.05.2012 г., Сч. № 2704  от 17.09.2014 г </t>
    </r>
    <r>
      <rPr>
        <i/>
        <sz val="10"/>
        <color theme="1"/>
        <rFont val="Arial"/>
        <family val="2"/>
        <charset val="204"/>
      </rPr>
      <t>(проверка датчиков давления)</t>
    </r>
  </si>
  <si>
    <t xml:space="preserve">            ОАО "ТГК-1"</t>
  </si>
  <si>
    <t>Договор теплоснабжения от 01.04.12г. №21727; от 01.09.13 №8427</t>
  </si>
  <si>
    <t>ГУП "Водоканал СПб"</t>
  </si>
  <si>
    <t>Договор от 19.09.11г. №10-57074-ЖФ-ВС; от 08.06.12г. №10-593351-ЖФ-ВО</t>
  </si>
  <si>
    <t xml:space="preserve">Договор электроснабжения от 11.03.09г. № 34164 </t>
  </si>
  <si>
    <t xml:space="preserve">ЗАО "ЭКСИ-банк";   </t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</si>
  <si>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05.09.14 г.</t>
    </r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</si>
  <si>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25.06.14 г.</t>
    </r>
  </si>
  <si>
    <t xml:space="preserve">Остаток денежных средств на начало периода - </t>
  </si>
  <si>
    <t xml:space="preserve">Остаток денежных средств на конец периода - </t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</si>
  <si>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08.06.14 г.</t>
    </r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</si>
  <si>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10.05.14 г.</t>
    </r>
  </si>
  <si>
    <r>
      <t>жилой дом:</t>
    </r>
    <r>
      <rPr>
        <b/>
        <sz val="10"/>
        <color theme="1"/>
        <rFont val="Arial"/>
        <family val="2"/>
        <charset val="204"/>
      </rPr>
      <t xml:space="preserve"> Выборгское шоссе, дом 17 корпус 1</t>
    </r>
  </si>
  <si>
    <r>
      <t xml:space="preserve">ООО "Пионер-Сервис ШУВАЛОВО" </t>
    </r>
    <r>
      <rPr>
        <i/>
        <sz val="10"/>
        <color theme="1"/>
        <rFont val="Arial"/>
        <family val="2"/>
        <charset val="204"/>
      </rPr>
      <t>(материалы, инструменты для проведения работ; фонд оплаты труда и налоги сантехника, электрика; технический контроль, диспетчерское обслуживание, работы подрядчиков в рамках данной статьи затрат)</t>
    </r>
  </si>
  <si>
    <r>
      <t>ООО "Пионер-Сервис ШУВАЛОВО"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уборщицы) </t>
    </r>
  </si>
  <si>
    <r>
      <t>ООО "Пионер-Сервис ШУВАЛОВО"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дворника) </t>
    </r>
  </si>
  <si>
    <r>
      <t>ООО "Пионер-Сервис ШУВАЛОВО"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</si>
  <si>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r>
      <t>ООО "Пионер-Сервис ШУВАЛОВО"</t>
    </r>
    <r>
      <rPr>
        <i/>
        <sz val="10"/>
        <color theme="1"/>
        <rFont val="Arial"/>
        <family val="2"/>
        <charset val="204"/>
      </rPr>
      <t>(осуществление технического контроля, частичное выполнение работ)</t>
    </r>
  </si>
  <si>
    <r>
      <t>ООО "Пионер-Сервис ШУВАЛОВО"</t>
    </r>
    <r>
      <rPr>
        <i/>
        <sz val="10"/>
        <color theme="1"/>
        <rFont val="Arial"/>
        <family val="2"/>
        <charset val="204"/>
      </rPr>
      <t xml:space="preserve">(Консъержи), Охранная организация "Карат Сервис" (охрана, тревожные кнопки) </t>
    </r>
  </si>
  <si>
    <r>
      <t xml:space="preserve">ООО "Пионер-Сервис ШУВАЛОВО"  </t>
    </r>
    <r>
      <rPr>
        <i/>
        <sz val="9"/>
        <color theme="1"/>
        <rFont val="Arial"/>
        <family val="2"/>
        <charset val="204"/>
      </rPr>
      <t>(Штатное расписание; Договор банковского счета; Договоры на поддержку Veb-сайта, программы начисления ЖКУ и других программ; Договоры на предоставление услуг телефонной связи и интернета; Оплата счетов на поставку оборудования и расходных материалов и предоставления услуг)</t>
    </r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</si>
  <si>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05.12.13 г.</t>
    </r>
  </si>
  <si>
    <t>Поступления - Оплата</t>
  </si>
  <si>
    <t xml:space="preserve"> ГУП ТЭК, Договор теплоснабжения  6156.037.1 от 01.12.07 г. </t>
  </si>
  <si>
    <t xml:space="preserve">Адрес </t>
  </si>
  <si>
    <t>Отчет за 2014 год</t>
  </si>
  <si>
    <t>Наименование управляющей организации</t>
  </si>
  <si>
    <t>Взыскано с собственников</t>
  </si>
  <si>
    <t>Информация о наличии претензий по качеству выполненных работ (оказанных услуг). Сумма произведенного перерасчета</t>
  </si>
  <si>
    <t>Адрес</t>
  </si>
  <si>
    <t>Выполненные перерасчеты</t>
  </si>
  <si>
    <t>ул. Комсомола, 14, корп.2</t>
  </si>
  <si>
    <t>Перерасчеты не осуществлялись вследствии отсутствия претензий</t>
  </si>
  <si>
    <t>Королева, дом 21 корпус 1</t>
  </si>
  <si>
    <t xml:space="preserve">Стандарт раскрытия информации организациями, осуществляющими деятельность в сфере управления многоквартирными домами (утв. постановлением Правительства РФ от 23 сентября 2010 г. N 731) 
</t>
  </si>
  <si>
    <t>о доходах - расходах по ООО «ПИОНЕР-СЕРВИС»  за 2014 год</t>
  </si>
  <si>
    <t>о доходах - расходах по ООО «Пионер-Сервис ЙЕС»  за 2014 год</t>
  </si>
  <si>
    <t>Уборка лестничных клеток (руб.)</t>
  </si>
  <si>
    <t>Лифт(руб.)</t>
  </si>
  <si>
    <t>Пр. Просвещения, 15</t>
  </si>
  <si>
    <r>
      <t>Задолженность собственников за предоставленные услуги</t>
    </r>
    <r>
      <rPr>
        <sz val="10"/>
        <color rgb="FF000000"/>
        <rFont val="Arial"/>
        <family val="2"/>
        <charset val="204"/>
      </rPr>
      <t xml:space="preserve"> (на конец периода)</t>
    </r>
  </si>
  <si>
    <r>
      <t>Задолженность собственников за предоставленные услуги</t>
    </r>
    <r>
      <rPr>
        <sz val="10"/>
        <color rgb="FF000000"/>
        <rFont val="Arial"/>
        <family val="2"/>
        <charset val="204"/>
      </rPr>
      <t xml:space="preserve"> (на 01.04.2015)</t>
    </r>
  </si>
  <si>
    <r>
      <t>Задолженность собственников за предоставленные услуги</t>
    </r>
    <r>
      <rPr>
        <sz val="10"/>
        <rFont val="Arial"/>
        <family val="2"/>
        <charset val="204"/>
      </rPr>
      <t xml:space="preserve"> (на 01.04.2015)</t>
    </r>
  </si>
  <si>
    <t>о доходах - расходах по ООО «Пионер-Сервис ШУВАЛОВО»  за 2014 год</t>
  </si>
  <si>
    <t>Выборгское шоссе дом 17 кор. 1</t>
  </si>
  <si>
    <t>Выборгское шоссе дом 17 кор. 2</t>
  </si>
  <si>
    <t>Выборгское шоссе дом 17 кор. 4</t>
  </si>
  <si>
    <t>Выборгское шоссе дом 17 кор. 3</t>
  </si>
  <si>
    <t>о доходах - расходах по ООО «Пионер-Сервис ПАРГОЛОВО» 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</si>
</sst>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%"/>
    <numFmt numFmtId="166" formatCode="#,##0.00_ ;\-#,##0.00\ "/>
  </numFmts>
  <fonts count="5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u/>
      <sz val="10"/>
      <color indexed="12"/>
      <name val="Verdana"/>
      <family val="2"/>
      <charset val="204"/>
    </font>
    <font>
      <sz val="10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2"/>
      <color indexed="12"/>
      <name val="Verdana"/>
      <family val="2"/>
      <charset val="204"/>
    </font>
    <font>
      <sz val="12"/>
      <name val="Verdana"/>
      <family val="2"/>
      <charset val="204"/>
    </font>
    <font>
      <u/>
      <sz val="12"/>
      <color indexed="12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0"/>
      <name val="Verdana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color theme="0"/>
      <name val="Verdana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rgb="FFFF0000"/>
      <name val="Verdana"/>
      <family val="2"/>
      <charset val="204"/>
    </font>
    <font>
      <u/>
      <sz val="10"/>
      <name val="Arial"/>
      <family val="2"/>
      <charset val="204"/>
    </font>
    <font>
      <u/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0"/>
      <color theme="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30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</cellStyleXfs>
  <cellXfs count="360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0" xfId="0" applyFont="1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/>
    <xf numFmtId="0" fontId="26" fillId="0" borderId="0" xfId="0" applyFont="1"/>
    <xf numFmtId="0" fontId="27" fillId="0" borderId="0" xfId="0" applyFont="1"/>
    <xf numFmtId="0" fontId="27" fillId="0" borderId="0" xfId="0" applyFont="1" applyFill="1"/>
    <xf numFmtId="0" fontId="26" fillId="0" borderId="0" xfId="0" applyFont="1" applyFill="1"/>
    <xf numFmtId="0" fontId="28" fillId="0" borderId="0" xfId="28" applyFont="1" applyAlignment="1" applyProtection="1">
      <alignment horizontal="left"/>
    </xf>
    <xf numFmtId="0" fontId="28" fillId="0" borderId="0" xfId="30" applyFont="1" applyAlignment="1" applyProtection="1">
      <alignment horizontal="left"/>
    </xf>
    <xf numFmtId="0" fontId="26" fillId="0" borderId="0" xfId="0" quotePrefix="1" applyFont="1" applyFill="1" applyAlignment="1">
      <alignment horizontal="left"/>
    </xf>
    <xf numFmtId="0" fontId="28" fillId="0" borderId="0" xfId="28" applyFont="1" applyFill="1" applyAlignment="1" applyProtection="1">
      <alignment horizontal="left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quotePrefix="1" applyFont="1" applyAlignment="1">
      <alignment wrapText="1"/>
    </xf>
    <xf numFmtId="0" fontId="15" fillId="0" borderId="0" xfId="0" quotePrefix="1" applyFont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" fontId="15" fillId="0" borderId="10" xfId="4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23" fillId="0" borderId="0" xfId="0" quotePrefix="1" applyFont="1" applyAlignment="1"/>
    <xf numFmtId="0" fontId="32" fillId="25" borderId="0" xfId="0" applyFont="1" applyFill="1" applyAlignment="1">
      <alignment horizontal="center" vertical="center" wrapText="1"/>
    </xf>
    <xf numFmtId="0" fontId="32" fillId="0" borderId="0" xfId="0" applyFont="1"/>
    <xf numFmtId="0" fontId="36" fillId="2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25" borderId="10" xfId="0" applyFont="1" applyFill="1" applyBorder="1" applyAlignment="1">
      <alignment vertical="center" wrapText="1"/>
    </xf>
    <xf numFmtId="0" fontId="38" fillId="25" borderId="10" xfId="0" applyFont="1" applyFill="1" applyBorder="1" applyAlignment="1">
      <alignment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wrapText="1"/>
    </xf>
    <xf numFmtId="0" fontId="32" fillId="0" borderId="10" xfId="0" applyNumberFormat="1" applyFont="1" applyBorder="1" applyAlignment="1">
      <alignment vertical="center" wrapText="1"/>
    </xf>
    <xf numFmtId="4" fontId="35" fillId="25" borderId="10" xfId="0" applyNumberFormat="1" applyFont="1" applyFill="1" applyBorder="1" applyAlignment="1">
      <alignment horizontal="center" vertical="center" wrapText="1"/>
    </xf>
    <xf numFmtId="4" fontId="35" fillId="24" borderId="10" xfId="0" applyNumberFormat="1" applyFont="1" applyFill="1" applyBorder="1" applyAlignment="1">
      <alignment horizontal="center" vertical="center"/>
    </xf>
    <xf numFmtId="4" fontId="35" fillId="24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40" fillId="24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" fontId="32" fillId="25" borderId="10" xfId="0" applyNumberFormat="1" applyFont="1" applyFill="1" applyBorder="1" applyAlignment="1">
      <alignment horizontal="center" vertical="center" wrapText="1"/>
    </xf>
    <xf numFmtId="4" fontId="36" fillId="25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right" vertical="center"/>
    </xf>
    <xf numFmtId="3" fontId="41" fillId="24" borderId="10" xfId="0" applyNumberFormat="1" applyFont="1" applyFill="1" applyBorder="1" applyAlignment="1">
      <alignment horizontal="center" vertical="center" wrapText="1"/>
    </xf>
    <xf numFmtId="10" fontId="35" fillId="25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right" vertical="center" wrapText="1"/>
    </xf>
    <xf numFmtId="0" fontId="35" fillId="0" borderId="10" xfId="0" applyFont="1" applyBorder="1" applyAlignment="1">
      <alignment vertical="center"/>
    </xf>
    <xf numFmtId="0" fontId="36" fillId="25" borderId="0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vertical="center"/>
    </xf>
    <xf numFmtId="4" fontId="36" fillId="25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Border="1" applyAlignment="1">
      <alignment horizontal="center" vertical="center"/>
    </xf>
    <xf numFmtId="165" fontId="36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4" fontId="35" fillId="24" borderId="12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vertical="center" wrapText="1"/>
    </xf>
    <xf numFmtId="0" fontId="32" fillId="24" borderId="10" xfId="0" applyNumberFormat="1" applyFont="1" applyFill="1" applyBorder="1" applyAlignment="1">
      <alignment horizontal="left" vertical="distributed" wrapText="1"/>
    </xf>
    <xf numFmtId="0" fontId="33" fillId="0" borderId="10" xfId="0" applyNumberFormat="1" applyFont="1" applyBorder="1" applyAlignment="1">
      <alignment vertical="center" wrapText="1"/>
    </xf>
    <xf numFmtId="0" fontId="15" fillId="0" borderId="0" xfId="0" quotePrefix="1" applyFont="1" applyBorder="1" applyAlignment="1">
      <alignment wrapText="1"/>
    </xf>
    <xf numFmtId="0" fontId="15" fillId="0" borderId="0" xfId="0" applyFont="1" applyBorder="1"/>
    <xf numFmtId="0" fontId="23" fillId="0" borderId="0" xfId="0" quotePrefix="1" applyFont="1" applyBorder="1" applyAlignment="1"/>
    <xf numFmtId="4" fontId="32" fillId="24" borderId="12" xfId="0" applyNumberFormat="1" applyFont="1" applyFill="1" applyBorder="1" applyAlignment="1">
      <alignment vertical="center"/>
    </xf>
    <xf numFmtId="4" fontId="35" fillId="24" borderId="12" xfId="0" applyNumberFormat="1" applyFont="1" applyFill="1" applyBorder="1" applyAlignment="1">
      <alignment vertical="center"/>
    </xf>
    <xf numFmtId="0" fontId="32" fillId="0" borderId="10" xfId="0" applyNumberFormat="1" applyFont="1" applyBorder="1" applyAlignment="1">
      <alignment horizontal="left" vertical="center"/>
    </xf>
    <xf numFmtId="4" fontId="32" fillId="24" borderId="10" xfId="0" applyNumberFormat="1" applyFont="1" applyFill="1" applyBorder="1" applyAlignment="1">
      <alignment horizontal="right" vertical="center"/>
    </xf>
    <xf numFmtId="4" fontId="35" fillId="24" borderId="10" xfId="0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6" fillId="24" borderId="12" xfId="0" applyFont="1" applyFill="1" applyBorder="1" applyAlignment="1">
      <alignment vertical="center" wrapText="1"/>
    </xf>
    <xf numFmtId="4" fontId="36" fillId="24" borderId="12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36" fillId="24" borderId="16" xfId="0" applyFont="1" applyFill="1" applyBorder="1" applyAlignment="1">
      <alignment vertical="center" wrapText="1"/>
    </xf>
    <xf numFmtId="4" fontId="36" fillId="24" borderId="16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left" vertical="center" wrapText="1"/>
    </xf>
    <xf numFmtId="4" fontId="32" fillId="24" borderId="12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 wrapText="1"/>
    </xf>
    <xf numFmtId="4" fontId="32" fillId="24" borderId="10" xfId="0" applyNumberFormat="1" applyFont="1" applyFill="1" applyBorder="1" applyAlignment="1">
      <alignment horizontal="right" vertical="center" wrapText="1"/>
    </xf>
    <xf numFmtId="0" fontId="33" fillId="0" borderId="10" xfId="0" applyNumberFormat="1" applyFont="1" applyBorder="1" applyAlignment="1">
      <alignment horizontal="left" vertical="center"/>
    </xf>
    <xf numFmtId="4" fontId="36" fillId="24" borderId="10" xfId="0" applyNumberFormat="1" applyFont="1" applyFill="1" applyBorder="1" applyAlignment="1">
      <alignment horizontal="center" vertical="center" wrapText="1"/>
    </xf>
    <xf numFmtId="4" fontId="36" fillId="24" borderId="10" xfId="0" applyNumberFormat="1" applyFont="1" applyFill="1" applyBorder="1" applyAlignment="1">
      <alignment horizontal="right" vertical="center"/>
    </xf>
    <xf numFmtId="0" fontId="36" fillId="25" borderId="10" xfId="0" applyFont="1" applyFill="1" applyBorder="1" applyAlignment="1">
      <alignment horizontal="left" vertical="center" wrapText="1"/>
    </xf>
    <xf numFmtId="10" fontId="35" fillId="24" borderId="10" xfId="0" applyNumberFormat="1" applyFont="1" applyFill="1" applyBorder="1" applyAlignment="1">
      <alignment horizontal="center" vertical="center" wrapText="1"/>
    </xf>
    <xf numFmtId="4" fontId="36" fillId="24" borderId="10" xfId="0" applyNumberFormat="1" applyFont="1" applyFill="1" applyBorder="1" applyAlignment="1">
      <alignment horizontal="right" vertical="center" wrapText="1"/>
    </xf>
    <xf numFmtId="4" fontId="33" fillId="24" borderId="12" xfId="0" applyNumberFormat="1" applyFont="1" applyFill="1" applyBorder="1" applyAlignment="1">
      <alignment horizontal="right" vertical="center"/>
    </xf>
    <xf numFmtId="0" fontId="35" fillId="24" borderId="10" xfId="0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4" fontId="15" fillId="0" borderId="10" xfId="28" applyNumberFormat="1" applyFont="1" applyBorder="1" applyAlignment="1" applyProtection="1">
      <alignment horizontal="right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0" fontId="29" fillId="0" borderId="10" xfId="0" applyFont="1" applyBorder="1"/>
    <xf numFmtId="4" fontId="29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4" fontId="23" fillId="0" borderId="0" xfId="0" applyNumberFormat="1" applyFont="1"/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right" wrapText="1"/>
    </xf>
    <xf numFmtId="0" fontId="43" fillId="0" borderId="0" xfId="0" applyFont="1"/>
    <xf numFmtId="0" fontId="39" fillId="0" borderId="10" xfId="0" applyFont="1" applyBorder="1" applyAlignment="1">
      <alignment horizontal="center"/>
    </xf>
    <xf numFmtId="10" fontId="3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/>
    <xf numFmtId="4" fontId="29" fillId="0" borderId="0" xfId="0" applyNumberFormat="1" applyFont="1" applyBorder="1" applyAlignment="1">
      <alignment horizontal="right" wrapText="1"/>
    </xf>
    <xf numFmtId="4" fontId="15" fillId="24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29" applyFont="1" applyAlignment="1" applyProtection="1">
      <alignment horizontal="center"/>
    </xf>
    <xf numFmtId="0" fontId="36" fillId="2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left" vertical="center" wrapText="1"/>
    </xf>
    <xf numFmtId="0" fontId="32" fillId="25" borderId="0" xfId="0" applyFont="1" applyFill="1" applyAlignment="1">
      <alignment horizontal="center" vertical="center" wrapText="1"/>
    </xf>
    <xf numFmtId="4" fontId="36" fillId="25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right" wrapText="1"/>
    </xf>
    <xf numFmtId="4" fontId="39" fillId="0" borderId="16" xfId="0" applyNumberFormat="1" applyFont="1" applyBorder="1" applyAlignment="1">
      <alignment horizontal="right" wrapText="1"/>
    </xf>
    <xf numFmtId="0" fontId="29" fillId="0" borderId="0" xfId="0" quotePrefix="1" applyFont="1" applyAlignment="1">
      <alignment wrapText="1"/>
    </xf>
    <xf numFmtId="4" fontId="15" fillId="0" borderId="10" xfId="0" applyNumberFormat="1" applyFont="1" applyBorder="1" applyAlignment="1">
      <alignment wrapText="1"/>
    </xf>
    <xf numFmtId="10" fontId="35" fillId="24" borderId="12" xfId="0" applyNumberFormat="1" applyFont="1" applyFill="1" applyBorder="1" applyAlignment="1">
      <alignment horizontal="center" vertical="center" wrapText="1"/>
    </xf>
    <xf numFmtId="4" fontId="35" fillId="24" borderId="10" xfId="0" applyNumberFormat="1" applyFont="1" applyFill="1" applyBorder="1" applyAlignment="1">
      <alignment horizontal="right" vertical="center" wrapText="1"/>
    </xf>
    <xf numFmtId="4" fontId="35" fillId="24" borderId="10" xfId="0" applyNumberFormat="1" applyFont="1" applyFill="1" applyBorder="1" applyAlignment="1">
      <alignment vertical="center" wrapText="1"/>
    </xf>
    <xf numFmtId="164" fontId="35" fillId="24" borderId="10" xfId="0" applyNumberFormat="1" applyFont="1" applyFill="1" applyBorder="1" applyAlignment="1">
      <alignment vertical="center"/>
    </xf>
    <xf numFmtId="166" fontId="35" fillId="24" borderId="12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wrapText="1"/>
    </xf>
    <xf numFmtId="4" fontId="32" fillId="24" borderId="10" xfId="0" applyNumberFormat="1" applyFont="1" applyFill="1" applyBorder="1" applyAlignment="1">
      <alignment vertical="center" wrapText="1"/>
    </xf>
    <xf numFmtId="3" fontId="23" fillId="0" borderId="0" xfId="0" applyNumberFormat="1" applyFont="1"/>
    <xf numFmtId="0" fontId="29" fillId="25" borderId="10" xfId="0" applyFont="1" applyFill="1" applyBorder="1" applyAlignment="1">
      <alignment horizontal="right" vertical="center" wrapText="1"/>
    </xf>
    <xf numFmtId="0" fontId="15" fillId="24" borderId="10" xfId="0" applyFont="1" applyFill="1" applyBorder="1" applyAlignment="1">
      <alignment vertical="center"/>
    </xf>
    <xf numFmtId="4" fontId="29" fillId="24" borderId="10" xfId="0" applyNumberFormat="1" applyFont="1" applyFill="1" applyBorder="1" applyAlignment="1">
      <alignment horizontal="right" vertical="center" wrapText="1"/>
    </xf>
    <xf numFmtId="0" fontId="31" fillId="0" borderId="0" xfId="0" applyFont="1"/>
    <xf numFmtId="0" fontId="23" fillId="0" borderId="0" xfId="0" applyFont="1" applyAlignment="1">
      <alignment horizontal="right" wrapText="1"/>
    </xf>
    <xf numFmtId="4" fontId="29" fillId="25" borderId="10" xfId="0" applyNumberFormat="1" applyFont="1" applyFill="1" applyBorder="1" applyAlignment="1">
      <alignment horizontal="center" vertical="center" wrapText="1"/>
    </xf>
    <xf numFmtId="166" fontId="35" fillId="25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166" fontId="35" fillId="0" borderId="10" xfId="0" applyNumberFormat="1" applyFont="1" applyBorder="1" applyAlignment="1">
      <alignment horizontal="center" vertical="center" wrapText="1"/>
    </xf>
    <xf numFmtId="166" fontId="35" fillId="24" borderId="10" xfId="0" applyNumberFormat="1" applyFont="1" applyFill="1" applyBorder="1" applyAlignment="1">
      <alignment horizontal="center" vertical="center" wrapText="1"/>
    </xf>
    <xf numFmtId="166" fontId="35" fillId="24" borderId="11" xfId="0" applyNumberFormat="1" applyFont="1" applyFill="1" applyBorder="1" applyAlignment="1">
      <alignment horizontal="center" vertical="center" wrapText="1"/>
    </xf>
    <xf numFmtId="166" fontId="32" fillId="25" borderId="10" xfId="0" applyNumberFormat="1" applyFont="1" applyFill="1" applyBorder="1" applyAlignment="1">
      <alignment horizontal="center" vertical="center" wrapText="1"/>
    </xf>
    <xf numFmtId="166" fontId="36" fillId="25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right" vertical="center" wrapText="1"/>
    </xf>
    <xf numFmtId="166" fontId="35" fillId="0" borderId="10" xfId="0" applyNumberFormat="1" applyFont="1" applyBorder="1" applyAlignment="1">
      <alignment vertical="center" wrapText="1"/>
    </xf>
    <xf numFmtId="166" fontId="29" fillId="25" borderId="10" xfId="0" applyNumberFormat="1" applyFont="1" applyFill="1" applyBorder="1" applyAlignment="1">
      <alignment horizontal="center" vertical="center" wrapText="1"/>
    </xf>
    <xf numFmtId="166" fontId="35" fillId="24" borderId="10" xfId="0" applyNumberFormat="1" applyFont="1" applyFill="1" applyBorder="1" applyAlignment="1">
      <alignment vertical="center" wrapText="1"/>
    </xf>
    <xf numFmtId="166" fontId="35" fillId="0" borderId="10" xfId="0" applyNumberFormat="1" applyFont="1" applyBorder="1" applyAlignment="1">
      <alignment vertical="center"/>
    </xf>
    <xf numFmtId="164" fontId="46" fillId="0" borderId="0" xfId="0" applyNumberFormat="1" applyFont="1" applyBorder="1" applyAlignment="1">
      <alignment horizontal="center" vertical="center"/>
    </xf>
    <xf numFmtId="0" fontId="47" fillId="0" borderId="0" xfId="0" applyFont="1"/>
    <xf numFmtId="3" fontId="47" fillId="0" borderId="0" xfId="0" applyNumberFormat="1" applyFont="1"/>
    <xf numFmtId="4" fontId="47" fillId="0" borderId="0" xfId="0" applyNumberFormat="1" applyFont="1"/>
    <xf numFmtId="0" fontId="33" fillId="0" borderId="10" xfId="0" applyNumberFormat="1" applyFont="1" applyBorder="1" applyAlignment="1">
      <alignment horizontal="left" vertical="center" wrapText="1"/>
    </xf>
    <xf numFmtId="0" fontId="36" fillId="25" borderId="12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/>
    </xf>
    <xf numFmtId="0" fontId="32" fillId="24" borderId="12" xfId="0" applyNumberFormat="1" applyFont="1" applyFill="1" applyBorder="1" applyAlignment="1">
      <alignment horizontal="left" vertical="center" wrapText="1"/>
    </xf>
    <xf numFmtId="0" fontId="32" fillId="24" borderId="16" xfId="0" applyNumberFormat="1" applyFont="1" applyFill="1" applyBorder="1" applyAlignment="1">
      <alignment horizontal="left" vertical="center" wrapText="1"/>
    </xf>
    <xf numFmtId="4" fontId="35" fillId="24" borderId="11" xfId="0" applyNumberFormat="1" applyFont="1" applyFill="1" applyBorder="1" applyAlignment="1">
      <alignment horizontal="center" vertical="center" wrapText="1"/>
    </xf>
    <xf numFmtId="4" fontId="36" fillId="25" borderId="10" xfId="0" applyNumberFormat="1" applyFont="1" applyFill="1" applyBorder="1" applyAlignment="1">
      <alignment horizontal="center" vertical="center" wrapText="1"/>
    </xf>
    <xf numFmtId="4" fontId="35" fillId="25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4" fontId="35" fillId="0" borderId="12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166" fontId="35" fillId="24" borderId="10" xfId="0" applyNumberFormat="1" applyFont="1" applyFill="1" applyBorder="1" applyAlignment="1">
      <alignment horizontal="center" vertical="center" wrapText="1"/>
    </xf>
    <xf numFmtId="166" fontId="36" fillId="25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 horizontal="center" vertical="center" wrapText="1"/>
    </xf>
    <xf numFmtId="166" fontId="35" fillId="0" borderId="10" xfId="0" applyNumberFormat="1" applyFont="1" applyBorder="1" applyAlignment="1">
      <alignment horizontal="center" vertical="center"/>
    </xf>
    <xf numFmtId="166" fontId="35" fillId="24" borderId="11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166" fontId="35" fillId="0" borderId="10" xfId="0" applyNumberFormat="1" applyFont="1" applyBorder="1" applyAlignment="1">
      <alignment horizontal="center" vertical="center" wrapText="1"/>
    </xf>
    <xf numFmtId="166" fontId="35" fillId="25" borderId="10" xfId="0" applyNumberFormat="1" applyFont="1" applyFill="1" applyBorder="1" applyAlignment="1">
      <alignment horizontal="center" vertical="center" wrapText="1"/>
    </xf>
    <xf numFmtId="0" fontId="29" fillId="0" borderId="10" xfId="0" quotePrefix="1" applyFont="1" applyBorder="1" applyAlignment="1">
      <alignment horizontal="center" vertical="center" wrapText="1"/>
    </xf>
    <xf numFmtId="166" fontId="35" fillId="24" borderId="12" xfId="0" applyNumberFormat="1" applyFont="1" applyFill="1" applyBorder="1" applyAlignment="1">
      <alignment horizontal="right" vertical="center" wrapText="1"/>
    </xf>
    <xf numFmtId="166" fontId="35" fillId="24" borderId="11" xfId="0" applyNumberFormat="1" applyFont="1" applyFill="1" applyBorder="1" applyAlignment="1">
      <alignment horizontal="right" vertical="center" wrapText="1"/>
    </xf>
    <xf numFmtId="166" fontId="35" fillId="24" borderId="16" xfId="0" applyNumberFormat="1" applyFont="1" applyFill="1" applyBorder="1" applyAlignment="1">
      <alignment horizontal="right" vertical="center" wrapText="1"/>
    </xf>
    <xf numFmtId="166" fontId="35" fillId="24" borderId="10" xfId="0" applyNumberFormat="1" applyFont="1" applyFill="1" applyBorder="1" applyAlignment="1">
      <alignment horizontal="right" vertical="center" wrapText="1"/>
    </xf>
    <xf numFmtId="166" fontId="32" fillId="24" borderId="10" xfId="0" applyNumberFormat="1" applyFont="1" applyFill="1" applyBorder="1" applyAlignment="1">
      <alignment horizontal="right" vertical="center" wrapText="1"/>
    </xf>
    <xf numFmtId="166" fontId="32" fillId="24" borderId="12" xfId="0" applyNumberFormat="1" applyFont="1" applyFill="1" applyBorder="1" applyAlignment="1">
      <alignment horizontal="right" vertical="center" wrapText="1"/>
    </xf>
    <xf numFmtId="166" fontId="36" fillId="24" borderId="12" xfId="0" applyNumberFormat="1" applyFont="1" applyFill="1" applyBorder="1" applyAlignment="1">
      <alignment horizontal="right" vertical="center" wrapText="1"/>
    </xf>
    <xf numFmtId="166" fontId="36" fillId="24" borderId="16" xfId="0" applyNumberFormat="1" applyFont="1" applyFill="1" applyBorder="1" applyAlignment="1">
      <alignment horizontal="right" vertical="center" wrapText="1"/>
    </xf>
    <xf numFmtId="166" fontId="36" fillId="24" borderId="10" xfId="0" applyNumberFormat="1" applyFont="1" applyFill="1" applyBorder="1" applyAlignment="1">
      <alignment horizontal="right" vertical="center" wrapText="1"/>
    </xf>
    <xf numFmtId="166" fontId="33" fillId="24" borderId="12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/>
    </xf>
    <xf numFmtId="4" fontId="36" fillId="25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166" fontId="36" fillId="25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/>
    <xf numFmtId="0" fontId="29" fillId="0" borderId="10" xfId="0" applyFont="1" applyBorder="1" applyAlignment="1">
      <alignment horizontal="right" wrapText="1"/>
    </xf>
    <xf numFmtId="4" fontId="36" fillId="0" borderId="10" xfId="0" applyNumberFormat="1" applyFont="1" applyBorder="1" applyAlignment="1">
      <alignment horizontal="center" vertical="center" wrapText="1"/>
    </xf>
    <xf numFmtId="166" fontId="35" fillId="0" borderId="10" xfId="0" applyNumberFormat="1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4" fontId="36" fillId="24" borderId="10" xfId="0" applyNumberFormat="1" applyFont="1" applyFill="1" applyBorder="1" applyAlignment="1">
      <alignment vertical="center" wrapText="1"/>
    </xf>
    <xf numFmtId="166" fontId="36" fillId="24" borderId="12" xfId="0" applyNumberFormat="1" applyFont="1" applyFill="1" applyBorder="1" applyAlignment="1">
      <alignment vertical="center"/>
    </xf>
    <xf numFmtId="166" fontId="36" fillId="0" borderId="10" xfId="0" applyNumberFormat="1" applyFont="1" applyBorder="1" applyAlignment="1">
      <alignment horizontal="center" vertical="center"/>
    </xf>
    <xf numFmtId="4" fontId="49" fillId="0" borderId="0" xfId="0" applyNumberFormat="1" applyFont="1"/>
    <xf numFmtId="4" fontId="36" fillId="25" borderId="10" xfId="0" applyNumberFormat="1" applyFont="1" applyFill="1" applyBorder="1" applyAlignment="1">
      <alignment horizontal="center" vertical="center" wrapText="1"/>
    </xf>
    <xf numFmtId="0" fontId="51" fillId="0" borderId="0" xfId="30" applyFont="1" applyAlignment="1" applyProtection="1">
      <alignment horizontal="left"/>
    </xf>
    <xf numFmtId="0" fontId="27" fillId="0" borderId="10" xfId="0" applyFont="1" applyFill="1" applyBorder="1"/>
    <xf numFmtId="0" fontId="50" fillId="0" borderId="10" xfId="28" applyFont="1" applyBorder="1" applyAlignment="1" applyProtection="1"/>
    <xf numFmtId="0" fontId="27" fillId="0" borderId="10" xfId="0" applyFont="1" applyBorder="1"/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2" fillId="25" borderId="0" xfId="0" applyFont="1" applyFill="1" applyAlignment="1">
      <alignment horizontal="center" vertical="center" wrapText="1"/>
    </xf>
    <xf numFmtId="0" fontId="29" fillId="0" borderId="0" xfId="0" quotePrefix="1" applyFont="1" applyAlignment="1">
      <alignment horizontal="center" wrapText="1"/>
    </xf>
    <xf numFmtId="0" fontId="23" fillId="26" borderId="0" xfId="0" applyFont="1" applyFill="1"/>
    <xf numFmtId="1" fontId="23" fillId="0" borderId="10" xfId="0" applyNumberFormat="1" applyFont="1" applyBorder="1"/>
    <xf numFmtId="1" fontId="31" fillId="0" borderId="10" xfId="0" applyNumberFormat="1" applyFont="1" applyBorder="1"/>
    <xf numFmtId="0" fontId="23" fillId="0" borderId="21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4" fontId="23" fillId="0" borderId="0" xfId="0" applyNumberFormat="1" applyFont="1" applyAlignment="1">
      <alignment horizontal="center"/>
    </xf>
    <xf numFmtId="4" fontId="23" fillId="0" borderId="10" xfId="0" applyNumberFormat="1" applyFont="1" applyBorder="1"/>
    <xf numFmtId="4" fontId="53" fillId="0" borderId="0" xfId="0" applyNumberFormat="1" applyFont="1" applyBorder="1" applyAlignment="1">
      <alignment horizontal="right" wrapText="1"/>
    </xf>
    <xf numFmtId="0" fontId="32" fillId="25" borderId="0" xfId="0" applyFont="1" applyFill="1" applyAlignment="1">
      <alignment horizontal="center" vertical="center" wrapText="1"/>
    </xf>
    <xf numFmtId="166" fontId="35" fillId="24" borderId="12" xfId="0" applyNumberFormat="1" applyFont="1" applyFill="1" applyBorder="1" applyAlignment="1">
      <alignment horizontal="right" vertical="center" wrapText="1"/>
    </xf>
    <xf numFmtId="0" fontId="32" fillId="25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3" fontId="23" fillId="0" borderId="10" xfId="0" applyNumberFormat="1" applyFont="1" applyBorder="1"/>
    <xf numFmtId="166" fontId="47" fillId="0" borderId="0" xfId="0" applyNumberFormat="1" applyFont="1"/>
    <xf numFmtId="0" fontId="47" fillId="0" borderId="0" xfId="0" applyFont="1" applyAlignment="1">
      <alignment horizontal="center"/>
    </xf>
    <xf numFmtId="166" fontId="35" fillId="24" borderId="12" xfId="0" applyNumberFormat="1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166" fontId="35" fillId="0" borderId="10" xfId="0" applyNumberFormat="1" applyFont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166" fontId="35" fillId="25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0" fontId="22" fillId="0" borderId="0" xfId="29" applyFont="1" applyAlignment="1" applyProtection="1">
      <alignment horizontal="left"/>
    </xf>
    <xf numFmtId="0" fontId="22" fillId="0" borderId="0" xfId="29" applyFont="1" applyAlignment="1" applyProtection="1">
      <alignment horizontal="center"/>
    </xf>
    <xf numFmtId="0" fontId="33" fillId="0" borderId="0" xfId="0" applyFont="1" applyAlignment="1">
      <alignment horizontal="center" vertical="center"/>
    </xf>
    <xf numFmtId="0" fontId="32" fillId="25" borderId="0" xfId="0" applyFont="1" applyFill="1" applyAlignment="1">
      <alignment horizontal="center" vertical="center" wrapText="1"/>
    </xf>
    <xf numFmtId="166" fontId="36" fillId="25" borderId="10" xfId="0" applyNumberFormat="1" applyFont="1" applyFill="1" applyBorder="1" applyAlignment="1">
      <alignment horizontal="center" vertical="center" wrapText="1"/>
    </xf>
    <xf numFmtId="166" fontId="36" fillId="25" borderId="12" xfId="0" applyNumberFormat="1" applyFont="1" applyFill="1" applyBorder="1" applyAlignment="1">
      <alignment horizontal="center" vertical="center" wrapText="1"/>
    </xf>
    <xf numFmtId="166" fontId="36" fillId="25" borderId="16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166" fontId="35" fillId="0" borderId="12" xfId="0" applyNumberFormat="1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 horizontal="center" vertical="center" wrapText="1"/>
    </xf>
    <xf numFmtId="166" fontId="35" fillId="0" borderId="16" xfId="0" applyNumberFormat="1" applyFont="1" applyBorder="1" applyAlignment="1">
      <alignment horizontal="center" vertical="center" wrapText="1"/>
    </xf>
    <xf numFmtId="166" fontId="35" fillId="25" borderId="12" xfId="0" applyNumberFormat="1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left" vertical="center" wrapText="1"/>
    </xf>
    <xf numFmtId="166" fontId="35" fillId="25" borderId="16" xfId="0" applyNumberFormat="1" applyFont="1" applyFill="1" applyBorder="1" applyAlignment="1">
      <alignment horizontal="center" vertical="center" wrapText="1"/>
    </xf>
    <xf numFmtId="166" fontId="35" fillId="25" borderId="11" xfId="0" applyNumberFormat="1" applyFont="1" applyFill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25" borderId="10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4" fontId="35" fillId="24" borderId="12" xfId="0" applyNumberFormat="1" applyFont="1" applyFill="1" applyBorder="1" applyAlignment="1">
      <alignment vertical="center" wrapText="1"/>
    </xf>
    <xf numFmtId="4" fontId="35" fillId="24" borderId="16" xfId="0" applyNumberFormat="1" applyFont="1" applyFill="1" applyBorder="1" applyAlignment="1">
      <alignment vertical="center" wrapText="1"/>
    </xf>
    <xf numFmtId="0" fontId="0" fillId="24" borderId="16" xfId="0" applyFill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2" fillId="0" borderId="0" xfId="28" quotePrefix="1" applyFont="1" applyAlignment="1" applyProtection="1">
      <alignment horizontal="left"/>
    </xf>
    <xf numFmtId="0" fontId="22" fillId="0" borderId="0" xfId="28" applyFont="1" applyAlignment="1" applyProtection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64" fontId="35" fillId="24" borderId="12" xfId="0" applyNumberFormat="1" applyFont="1" applyFill="1" applyBorder="1" applyAlignment="1">
      <alignment vertical="center" wrapText="1"/>
    </xf>
    <xf numFmtId="164" fontId="35" fillId="24" borderId="16" xfId="0" applyNumberFormat="1" applyFont="1" applyFill="1" applyBorder="1" applyAlignment="1">
      <alignment vertical="center" wrapText="1"/>
    </xf>
    <xf numFmtId="4" fontId="35" fillId="24" borderId="12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" fontId="48" fillId="24" borderId="12" xfId="0" applyNumberFormat="1" applyFont="1" applyFill="1" applyBorder="1" applyAlignment="1">
      <alignment horizontal="right" vertical="top" wrapText="1"/>
    </xf>
    <xf numFmtId="4" fontId="48" fillId="24" borderId="16" xfId="0" applyNumberFormat="1" applyFont="1" applyFill="1" applyBorder="1" applyAlignment="1">
      <alignment horizontal="right" vertical="top" wrapText="1"/>
    </xf>
    <xf numFmtId="166" fontId="35" fillId="24" borderId="12" xfId="0" applyNumberFormat="1" applyFont="1" applyFill="1" applyBorder="1" applyAlignment="1">
      <alignment horizontal="right" vertical="center" wrapText="1"/>
    </xf>
    <xf numFmtId="166" fontId="35" fillId="24" borderId="16" xfId="0" applyNumberFormat="1" applyFont="1" applyFill="1" applyBorder="1" applyAlignment="1">
      <alignment horizontal="right" vertical="center" wrapText="1"/>
    </xf>
    <xf numFmtId="166" fontId="36" fillId="25" borderId="10" xfId="0" applyNumberFormat="1" applyFont="1" applyFill="1" applyBorder="1" applyAlignment="1">
      <alignment horizontal="right" vertical="center" wrapText="1"/>
    </xf>
    <xf numFmtId="166" fontId="36" fillId="0" borderId="12" xfId="0" applyNumberFormat="1" applyFont="1" applyBorder="1" applyAlignment="1">
      <alignment horizontal="right" vertical="center" wrapText="1"/>
    </xf>
    <xf numFmtId="166" fontId="36" fillId="0" borderId="16" xfId="0" applyNumberFormat="1" applyFont="1" applyBorder="1" applyAlignment="1">
      <alignment horizontal="right" vertical="center" wrapText="1"/>
    </xf>
    <xf numFmtId="0" fontId="32" fillId="0" borderId="12" xfId="0" applyNumberFormat="1" applyFont="1" applyBorder="1" applyAlignment="1">
      <alignment horizontal="left" vertical="center" wrapText="1"/>
    </xf>
    <xf numFmtId="0" fontId="32" fillId="0" borderId="11" xfId="0" applyNumberFormat="1" applyFont="1" applyBorder="1" applyAlignment="1">
      <alignment horizontal="left" vertical="center" wrapText="1"/>
    </xf>
    <xf numFmtId="0" fontId="32" fillId="0" borderId="16" xfId="0" applyNumberFormat="1" applyFont="1" applyBorder="1" applyAlignment="1">
      <alignment horizontal="left" vertical="center" wrapText="1"/>
    </xf>
    <xf numFmtId="4" fontId="35" fillId="24" borderId="12" xfId="0" applyNumberFormat="1" applyFont="1" applyFill="1" applyBorder="1" applyAlignment="1">
      <alignment horizontal="center" vertical="center" wrapText="1"/>
    </xf>
    <xf numFmtId="4" fontId="35" fillId="24" borderId="11" xfId="0" applyNumberFormat="1" applyFont="1" applyFill="1" applyBorder="1" applyAlignment="1">
      <alignment horizontal="center" vertical="center" wrapText="1"/>
    </xf>
    <xf numFmtId="4" fontId="35" fillId="24" borderId="16" xfId="0" applyNumberFormat="1" applyFont="1" applyFill="1" applyBorder="1" applyAlignment="1">
      <alignment horizontal="center" vertical="center" wrapText="1"/>
    </xf>
    <xf numFmtId="166" fontId="35" fillId="24" borderId="11" xfId="0" applyNumberFormat="1" applyFont="1" applyFill="1" applyBorder="1" applyAlignment="1">
      <alignment horizontal="right" vertical="center" wrapText="1"/>
    </xf>
    <xf numFmtId="166" fontId="32" fillId="24" borderId="12" xfId="0" applyNumberFormat="1" applyFont="1" applyFill="1" applyBorder="1" applyAlignment="1">
      <alignment horizontal="right" vertical="center" wrapText="1"/>
    </xf>
    <xf numFmtId="166" fontId="32" fillId="24" borderId="16" xfId="0" applyNumberFormat="1" applyFont="1" applyFill="1" applyBorder="1" applyAlignment="1">
      <alignment horizontal="right" vertical="center" wrapText="1"/>
    </xf>
    <xf numFmtId="166" fontId="32" fillId="24" borderId="11" xfId="0" applyNumberFormat="1" applyFont="1" applyFill="1" applyBorder="1" applyAlignment="1">
      <alignment horizontal="right" vertical="center" wrapText="1"/>
    </xf>
    <xf numFmtId="0" fontId="32" fillId="24" borderId="12" xfId="0" applyNumberFormat="1" applyFont="1" applyFill="1" applyBorder="1" applyAlignment="1">
      <alignment horizontal="left" vertical="center"/>
    </xf>
    <xf numFmtId="0" fontId="32" fillId="24" borderId="11" xfId="0" applyNumberFormat="1" applyFont="1" applyFill="1" applyBorder="1" applyAlignment="1">
      <alignment horizontal="left" vertical="center"/>
    </xf>
    <xf numFmtId="0" fontId="32" fillId="24" borderId="16" xfId="0" applyNumberFormat="1" applyFont="1" applyFill="1" applyBorder="1" applyAlignment="1">
      <alignment horizontal="left" vertical="center"/>
    </xf>
    <xf numFmtId="0" fontId="32" fillId="24" borderId="12" xfId="0" applyNumberFormat="1" applyFont="1" applyFill="1" applyBorder="1" applyAlignment="1">
      <alignment horizontal="left" vertical="center" wrapText="1"/>
    </xf>
    <xf numFmtId="0" fontId="32" fillId="24" borderId="16" xfId="0" applyNumberFormat="1" applyFont="1" applyFill="1" applyBorder="1" applyAlignment="1">
      <alignment horizontal="left" vertical="center" wrapText="1"/>
    </xf>
    <xf numFmtId="166" fontId="15" fillId="24" borderId="12" xfId="0" applyNumberFormat="1" applyFont="1" applyFill="1" applyBorder="1" applyAlignment="1">
      <alignment horizontal="right" vertical="center" wrapText="1"/>
    </xf>
    <xf numFmtId="166" fontId="15" fillId="24" borderId="11" xfId="0" applyNumberFormat="1" applyFont="1" applyFill="1" applyBorder="1" applyAlignment="1">
      <alignment horizontal="right" vertical="center" wrapText="1"/>
    </xf>
    <xf numFmtId="166" fontId="15" fillId="24" borderId="16" xfId="0" applyNumberFormat="1" applyFont="1" applyFill="1" applyBorder="1" applyAlignment="1">
      <alignment horizontal="right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4" fontId="35" fillId="25" borderId="12" xfId="0" applyNumberFormat="1" applyFont="1" applyFill="1" applyBorder="1" applyAlignment="1">
      <alignment horizontal="center" vertical="center" wrapText="1"/>
    </xf>
    <xf numFmtId="4" fontId="35" fillId="25" borderId="11" xfId="0" applyNumberFormat="1" applyFont="1" applyFill="1" applyBorder="1" applyAlignment="1">
      <alignment horizontal="center" vertical="center" wrapText="1"/>
    </xf>
    <xf numFmtId="4" fontId="35" fillId="25" borderId="16" xfId="0" applyNumberFormat="1" applyFont="1" applyFill="1" applyBorder="1" applyAlignment="1">
      <alignment horizontal="center" vertical="center" wrapText="1"/>
    </xf>
    <xf numFmtId="4" fontId="35" fillId="25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3" fontId="32" fillId="24" borderId="12" xfId="0" applyNumberFormat="1" applyFont="1" applyFill="1" applyBorder="1" applyAlignment="1">
      <alignment horizontal="center" vertical="center" wrapText="1"/>
    </xf>
    <xf numFmtId="3" fontId="32" fillId="24" borderId="11" xfId="0" applyNumberFormat="1" applyFont="1" applyFill="1" applyBorder="1" applyAlignment="1">
      <alignment horizontal="center" vertical="center" wrapText="1"/>
    </xf>
    <xf numFmtId="3" fontId="32" fillId="24" borderId="16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166" fontId="35" fillId="24" borderId="10" xfId="0" applyNumberFormat="1" applyFont="1" applyFill="1" applyBorder="1" applyAlignment="1">
      <alignment horizontal="center" vertical="center" wrapText="1"/>
    </xf>
    <xf numFmtId="166" fontId="35" fillId="0" borderId="10" xfId="0" applyNumberFormat="1" applyFont="1" applyBorder="1" applyAlignment="1">
      <alignment horizontal="center" vertical="center"/>
    </xf>
    <xf numFmtId="166" fontId="35" fillId="24" borderId="12" xfId="0" applyNumberFormat="1" applyFont="1" applyFill="1" applyBorder="1" applyAlignment="1">
      <alignment horizontal="center" vertical="center" wrapText="1"/>
    </xf>
    <xf numFmtId="166" fontId="35" fillId="24" borderId="11" xfId="0" applyNumberFormat="1" applyFont="1" applyFill="1" applyBorder="1" applyAlignment="1">
      <alignment horizontal="center" vertical="center" wrapText="1"/>
    </xf>
    <xf numFmtId="166" fontId="35" fillId="24" borderId="1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6" fontId="36" fillId="0" borderId="16" xfId="0" applyNumberFormat="1" applyFont="1" applyBorder="1" applyAlignment="1">
      <alignment horizontal="center" vertical="center" wrapText="1"/>
    </xf>
    <xf numFmtId="0" fontId="29" fillId="0" borderId="12" xfId="0" quotePrefix="1" applyFont="1" applyBorder="1" applyAlignment="1">
      <alignment horizontal="center" vertical="center" wrapText="1"/>
    </xf>
    <xf numFmtId="0" fontId="29" fillId="0" borderId="16" xfId="0" quotePrefix="1" applyFont="1" applyBorder="1" applyAlignment="1">
      <alignment horizontal="center" vertical="center" wrapText="1"/>
    </xf>
    <xf numFmtId="4" fontId="15" fillId="24" borderId="12" xfId="0" applyNumberFormat="1" applyFont="1" applyFill="1" applyBorder="1" applyAlignment="1">
      <alignment horizontal="right" wrapText="1"/>
    </xf>
    <xf numFmtId="4" fontId="0" fillId="24" borderId="16" xfId="0" applyNumberFormat="1" applyFill="1" applyBorder="1" applyAlignment="1">
      <alignment horizontal="right" wrapText="1"/>
    </xf>
    <xf numFmtId="4" fontId="15" fillId="0" borderId="12" xfId="0" applyNumberFormat="1" applyFont="1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4" fontId="15" fillId="0" borderId="12" xfId="28" applyNumberFormat="1" applyFont="1" applyBorder="1" applyAlignment="1" applyProtection="1">
      <alignment horizontal="right" wrapText="1"/>
    </xf>
    <xf numFmtId="0" fontId="29" fillId="0" borderId="10" xfId="0" quotePrefix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2" fillId="0" borderId="0" xfId="28" applyFont="1" applyAlignment="1" applyProtection="1">
      <alignment horizontal="left"/>
    </xf>
    <xf numFmtId="0" fontId="29" fillId="0" borderId="14" xfId="0" quotePrefix="1" applyFont="1" applyBorder="1" applyAlignment="1">
      <alignment horizontal="center" vertical="center" wrapText="1"/>
    </xf>
    <xf numFmtId="0" fontId="29" fillId="0" borderId="13" xfId="0" quotePrefix="1" applyFont="1" applyBorder="1" applyAlignment="1">
      <alignment horizontal="center" vertical="center" wrapText="1"/>
    </xf>
    <xf numFmtId="4" fontId="15" fillId="24" borderId="12" xfId="0" applyNumberFormat="1" applyFont="1" applyFill="1" applyBorder="1" applyAlignment="1">
      <alignment horizontal="center" wrapText="1"/>
    </xf>
    <xf numFmtId="4" fontId="15" fillId="24" borderId="11" xfId="0" applyNumberFormat="1" applyFont="1" applyFill="1" applyBorder="1" applyAlignment="1">
      <alignment horizontal="center" wrapText="1"/>
    </xf>
    <xf numFmtId="4" fontId="15" fillId="24" borderId="16" xfId="0" applyNumberFormat="1" applyFont="1" applyFill="1" applyBorder="1" applyAlignment="1">
      <alignment horizontal="center" wrapText="1"/>
    </xf>
    <xf numFmtId="0" fontId="29" fillId="0" borderId="0" xfId="0" quotePrefix="1" applyFont="1" applyAlignment="1">
      <alignment horizontal="center" wrapText="1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_от Семищенко" xfId="29"/>
    <cellStyle name="Гиперссылка_План работ на 2013 год" xfId="30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Обычный 3" xfId="40"/>
    <cellStyle name="Обычный 4" xfId="47"/>
    <cellStyle name="Обычный 5" xfId="48"/>
    <cellStyle name="Обычный 6" xfId="49"/>
    <cellStyle name="Обычный 7" xfId="5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erdikova\AppData\Local\Microsoft\Windows\Temporary%20Internet%20Files\Content.Outlook\KXL1KSYX\&#1058;&#1072;&#1088;&#1080;&#1092;&#1099;%20&#1053;&#1072;&#1095;&#1080;&#1089;&#1083;&#1077;&#1085;&#1080;&#1103;%20&#1047;&#1072;&#1090;&#1088;&#1072;&#1090;&#1099;%20&#1050;&#1086;&#1088;&#1086;&#1083;&#1077;&#1074;&#1072;%2014%20-%2015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erdikova\AppData\Local\Microsoft\Windows\Temporary%20Internet%20Files\Content.Outlook\KXL1KSYX\4%20&#1050;%20&#1058;&#1072;&#1088;&#1080;&#1092;&#1099;%20&#1053;&#1072;&#1095;&#1080;&#1089;&#1083;&#1077;&#1085;&#1080;&#1103;%20&#1047;&#1072;&#1090;&#1088;&#1072;&#1090;&#1099;%20&#1042;&#1064;%2017%20&#1050;.%204%2014%20-%2015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erdikova\AppData\Local\Microsoft\Windows\Temporary%20Internet%20Files\Content.Outlook\KXL1KSYX\3%20&#1050;%20&#1058;&#1072;&#1088;&#1080;&#1092;&#1099;%20&#1053;&#1072;&#1095;&#1080;&#1089;&#1083;&#1077;&#1085;&#1080;&#1103;%20&#1047;&#1072;&#1090;&#1088;&#1072;&#1090;&#1099;%20&#1042;&#1064;%2017%20&#1050;.%203%2014%20-%2015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2015 г"/>
      <sheetName val="Тарифы Нач Затр "/>
      <sheetName val="Тарифы  (2)"/>
      <sheetName val="Нач Затр  (3)"/>
      <sheetName val="Исполнение 14 г"/>
    </sheetNames>
    <sheetDataSet>
      <sheetData sheetId="0" refreshError="1"/>
      <sheetData sheetId="1" refreshError="1">
        <row r="12">
          <cell r="E12">
            <v>8.58</v>
          </cell>
        </row>
        <row r="28">
          <cell r="E28">
            <v>5.2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2015"/>
      <sheetName val="Тарифы Нач Затр "/>
      <sheetName val="Доп. работы"/>
    </sheetNames>
    <sheetDataSet>
      <sheetData sheetId="0" refreshError="1"/>
      <sheetData sheetId="1" refreshError="1">
        <row r="4">
          <cell r="E4">
            <v>566</v>
          </cell>
        </row>
        <row r="29">
          <cell r="E29">
            <v>6.1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2015"/>
      <sheetName val="Тарифы Нач Затр "/>
      <sheetName val="Доп. работы"/>
    </sheetNames>
    <sheetDataSet>
      <sheetData sheetId="0" refreshError="1"/>
      <sheetData sheetId="1" refreshError="1">
        <row r="4">
          <cell r="E4">
            <v>566</v>
          </cell>
        </row>
        <row r="29">
          <cell r="E29">
            <v>6.1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2"/>
  <sheetViews>
    <sheetView workbookViewId="0">
      <selection activeCell="C13" sqref="C13"/>
    </sheetView>
  </sheetViews>
  <sheetFormatPr defaultRowHeight="15" x14ac:dyDescent="0.2"/>
  <cols>
    <col min="1" max="1" width="43.28515625" style="10" customWidth="1"/>
    <col min="2" max="2" width="32.7109375" style="7" customWidth="1"/>
    <col min="3" max="3" width="44" style="8" customWidth="1"/>
    <col min="4" max="16384" width="9.140625" style="8"/>
  </cols>
  <sheetData>
    <row r="2" spans="1:3" ht="30" x14ac:dyDescent="0.2">
      <c r="A2" s="218" t="s">
        <v>193</v>
      </c>
      <c r="B2" s="219" t="s">
        <v>194</v>
      </c>
      <c r="C2" s="219" t="s">
        <v>195</v>
      </c>
    </row>
    <row r="3" spans="1:3" ht="21" customHeight="1" x14ac:dyDescent="0.2">
      <c r="A3" s="215" t="s">
        <v>11</v>
      </c>
      <c r="B3" s="216" t="s">
        <v>0</v>
      </c>
      <c r="C3" s="217" t="s">
        <v>15</v>
      </c>
    </row>
    <row r="4" spans="1:3" ht="21" customHeight="1" x14ac:dyDescent="0.2">
      <c r="A4" s="215" t="s">
        <v>6</v>
      </c>
      <c r="B4" s="216" t="s">
        <v>0</v>
      </c>
      <c r="C4" s="217" t="s">
        <v>12</v>
      </c>
    </row>
    <row r="5" spans="1:3" ht="21" customHeight="1" x14ac:dyDescent="0.2">
      <c r="A5" s="215" t="s">
        <v>5</v>
      </c>
      <c r="B5" s="216" t="s">
        <v>0</v>
      </c>
      <c r="C5" s="217" t="s">
        <v>12</v>
      </c>
    </row>
    <row r="6" spans="1:3" ht="21" customHeight="1" x14ac:dyDescent="0.2">
      <c r="A6" s="215" t="s">
        <v>7</v>
      </c>
      <c r="B6" s="216" t="s">
        <v>0</v>
      </c>
      <c r="C6" s="217" t="s">
        <v>13</v>
      </c>
    </row>
    <row r="7" spans="1:3" ht="21" customHeight="1" x14ac:dyDescent="0.2">
      <c r="A7" s="215" t="s">
        <v>8</v>
      </c>
      <c r="B7" s="216" t="s">
        <v>0</v>
      </c>
      <c r="C7" s="217" t="s">
        <v>14</v>
      </c>
    </row>
    <row r="8" spans="1:3" ht="21" customHeight="1" x14ac:dyDescent="0.2">
      <c r="A8" s="215" t="s">
        <v>9</v>
      </c>
      <c r="B8" s="216" t="s">
        <v>0</v>
      </c>
      <c r="C8" s="217" t="s">
        <v>14</v>
      </c>
    </row>
    <row r="9" spans="1:3" ht="21" customHeight="1" x14ac:dyDescent="0.2">
      <c r="A9" s="215" t="s">
        <v>10</v>
      </c>
      <c r="B9" s="216" t="s">
        <v>0</v>
      </c>
      <c r="C9" s="217" t="s">
        <v>14</v>
      </c>
    </row>
    <row r="10" spans="1:3" x14ac:dyDescent="0.2">
      <c r="A10" s="9"/>
      <c r="B10" s="214"/>
    </row>
    <row r="11" spans="1:3" x14ac:dyDescent="0.2">
      <c r="B11" s="12"/>
    </row>
    <row r="12" spans="1:3" x14ac:dyDescent="0.2">
      <c r="B12" s="12"/>
    </row>
    <row r="13" spans="1:3" x14ac:dyDescent="0.2">
      <c r="B13" s="12"/>
    </row>
    <row r="14" spans="1:3" x14ac:dyDescent="0.2">
      <c r="B14" s="12"/>
    </row>
    <row r="15" spans="1:3" x14ac:dyDescent="0.2">
      <c r="B15" s="12"/>
    </row>
    <row r="16" spans="1:3" x14ac:dyDescent="0.2">
      <c r="B16" s="12"/>
    </row>
    <row r="17" spans="2:2" x14ac:dyDescent="0.2">
      <c r="B17" s="12"/>
    </row>
    <row r="18" spans="2:2" x14ac:dyDescent="0.2">
      <c r="B18" s="12"/>
    </row>
    <row r="19" spans="2:2" x14ac:dyDescent="0.2">
      <c r="B19" s="12"/>
    </row>
    <row r="20" spans="2:2" x14ac:dyDescent="0.2">
      <c r="B20" s="12"/>
    </row>
    <row r="21" spans="2:2" x14ac:dyDescent="0.2">
      <c r="B21" s="12"/>
    </row>
    <row r="22" spans="2:2" x14ac:dyDescent="0.2">
      <c r="B22" s="11"/>
    </row>
    <row r="23" spans="2:2" x14ac:dyDescent="0.2">
      <c r="B23" s="12"/>
    </row>
    <row r="24" spans="2:2" x14ac:dyDescent="0.2">
      <c r="B24" s="12"/>
    </row>
    <row r="25" spans="2:2" x14ac:dyDescent="0.2">
      <c r="B25" s="12"/>
    </row>
    <row r="26" spans="2:2" x14ac:dyDescent="0.2">
      <c r="B26" s="12"/>
    </row>
    <row r="27" spans="2:2" x14ac:dyDescent="0.2">
      <c r="B27" s="12"/>
    </row>
    <row r="28" spans="2:2" x14ac:dyDescent="0.2">
      <c r="B28" s="12"/>
    </row>
    <row r="29" spans="2:2" x14ac:dyDescent="0.2">
      <c r="B29" s="12"/>
    </row>
    <row r="30" spans="2:2" x14ac:dyDescent="0.2">
      <c r="B30" s="12"/>
    </row>
    <row r="31" spans="2:2" x14ac:dyDescent="0.2">
      <c r="B31" s="12"/>
    </row>
    <row r="32" spans="2:2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1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  <row r="42" spans="2:2" x14ac:dyDescent="0.2">
      <c r="B42" s="12"/>
    </row>
    <row r="43" spans="2:2" x14ac:dyDescent="0.2">
      <c r="B43" s="12"/>
    </row>
    <row r="44" spans="2:2" x14ac:dyDescent="0.2">
      <c r="B44" s="12"/>
    </row>
    <row r="45" spans="2:2" x14ac:dyDescent="0.2">
      <c r="B45" s="12"/>
    </row>
    <row r="46" spans="2:2" x14ac:dyDescent="0.2">
      <c r="B46" s="12"/>
    </row>
    <row r="47" spans="2:2" x14ac:dyDescent="0.2">
      <c r="B47" s="12"/>
    </row>
    <row r="48" spans="2:2" x14ac:dyDescent="0.2">
      <c r="B48" s="12"/>
    </row>
    <row r="49" spans="2:2" x14ac:dyDescent="0.2">
      <c r="B49" s="12"/>
    </row>
    <row r="50" spans="2:2" x14ac:dyDescent="0.2">
      <c r="B50" s="12"/>
    </row>
    <row r="51" spans="2:2" x14ac:dyDescent="0.2">
      <c r="B51" s="12"/>
    </row>
    <row r="52" spans="2:2" x14ac:dyDescent="0.2">
      <c r="B52" s="12"/>
    </row>
    <row r="53" spans="2:2" x14ac:dyDescent="0.2">
      <c r="B53" s="12"/>
    </row>
    <row r="54" spans="2:2" x14ac:dyDescent="0.2">
      <c r="B54" s="12"/>
    </row>
    <row r="55" spans="2:2" x14ac:dyDescent="0.2">
      <c r="B55" s="12"/>
    </row>
    <row r="56" spans="2:2" x14ac:dyDescent="0.2">
      <c r="B56" s="12"/>
    </row>
    <row r="57" spans="2:2" x14ac:dyDescent="0.2">
      <c r="B57" s="12"/>
    </row>
    <row r="58" spans="2:2" x14ac:dyDescent="0.2">
      <c r="B58" s="12"/>
    </row>
    <row r="59" spans="2:2" x14ac:dyDescent="0.2">
      <c r="B59" s="12"/>
    </row>
    <row r="60" spans="2:2" x14ac:dyDescent="0.2">
      <c r="B60" s="12"/>
    </row>
    <row r="61" spans="2:2" x14ac:dyDescent="0.2">
      <c r="B61" s="12"/>
    </row>
    <row r="62" spans="2:2" x14ac:dyDescent="0.2">
      <c r="B62" s="12"/>
    </row>
    <row r="63" spans="2:2" x14ac:dyDescent="0.2">
      <c r="B63" s="12"/>
    </row>
    <row r="64" spans="2:2" x14ac:dyDescent="0.2">
      <c r="B64" s="12"/>
    </row>
    <row r="65" spans="2:2" x14ac:dyDescent="0.2">
      <c r="B65" s="12"/>
    </row>
    <row r="66" spans="2:2" x14ac:dyDescent="0.2">
      <c r="B66" s="12"/>
    </row>
    <row r="67" spans="2:2" x14ac:dyDescent="0.2">
      <c r="B67" s="12"/>
    </row>
    <row r="68" spans="2:2" x14ac:dyDescent="0.2">
      <c r="B68" s="12"/>
    </row>
    <row r="69" spans="2:2" x14ac:dyDescent="0.2">
      <c r="B69" s="12"/>
    </row>
    <row r="70" spans="2:2" x14ac:dyDescent="0.2">
      <c r="B70" s="12"/>
    </row>
    <row r="71" spans="2:2" x14ac:dyDescent="0.2">
      <c r="B71" s="12"/>
    </row>
    <row r="72" spans="2:2" x14ac:dyDescent="0.2">
      <c r="B72" s="12"/>
    </row>
    <row r="73" spans="2:2" x14ac:dyDescent="0.2">
      <c r="B73" s="12"/>
    </row>
    <row r="74" spans="2:2" x14ac:dyDescent="0.2">
      <c r="B74" s="12"/>
    </row>
    <row r="75" spans="2:2" x14ac:dyDescent="0.2">
      <c r="B75" s="12"/>
    </row>
    <row r="76" spans="2:2" x14ac:dyDescent="0.2">
      <c r="B76" s="12"/>
    </row>
    <row r="77" spans="2:2" x14ac:dyDescent="0.2">
      <c r="B77" s="12"/>
    </row>
    <row r="78" spans="2:2" x14ac:dyDescent="0.2">
      <c r="B78" s="12"/>
    </row>
    <row r="79" spans="2:2" x14ac:dyDescent="0.2">
      <c r="B79" s="12"/>
    </row>
    <row r="80" spans="2:2" x14ac:dyDescent="0.2">
      <c r="B80" s="12"/>
    </row>
    <row r="81" spans="1:2" x14ac:dyDescent="0.2">
      <c r="B81" s="12"/>
    </row>
    <row r="82" spans="1:2" x14ac:dyDescent="0.2">
      <c r="B82" s="12"/>
    </row>
    <row r="83" spans="1:2" x14ac:dyDescent="0.2">
      <c r="B83" s="12"/>
    </row>
    <row r="84" spans="1:2" x14ac:dyDescent="0.2">
      <c r="B84" s="12"/>
    </row>
    <row r="85" spans="1:2" x14ac:dyDescent="0.2">
      <c r="A85" s="13"/>
      <c r="B85" s="12"/>
    </row>
    <row r="86" spans="1:2" x14ac:dyDescent="0.2">
      <c r="B86" s="12"/>
    </row>
    <row r="87" spans="1:2" x14ac:dyDescent="0.2">
      <c r="B87" s="12"/>
    </row>
    <row r="88" spans="1:2" x14ac:dyDescent="0.2">
      <c r="B88" s="12"/>
    </row>
    <row r="89" spans="1:2" x14ac:dyDescent="0.2">
      <c r="B89" s="12"/>
    </row>
    <row r="90" spans="1:2" x14ac:dyDescent="0.2">
      <c r="B90" s="11"/>
    </row>
    <row r="91" spans="1:2" x14ac:dyDescent="0.2">
      <c r="B91" s="12"/>
    </row>
    <row r="92" spans="1:2" x14ac:dyDescent="0.2">
      <c r="B92" s="12"/>
    </row>
    <row r="93" spans="1:2" x14ac:dyDescent="0.2">
      <c r="B93" s="12"/>
    </row>
    <row r="94" spans="1:2" x14ac:dyDescent="0.2">
      <c r="B94" s="12"/>
    </row>
    <row r="95" spans="1:2" x14ac:dyDescent="0.2">
      <c r="B95" s="12"/>
    </row>
    <row r="96" spans="1:2" x14ac:dyDescent="0.2">
      <c r="B96" s="12"/>
    </row>
    <row r="97" spans="2:3" x14ac:dyDescent="0.2">
      <c r="B97" s="12"/>
    </row>
    <row r="98" spans="2:3" x14ac:dyDescent="0.2">
      <c r="B98" s="12"/>
    </row>
    <row r="99" spans="2:3" x14ac:dyDescent="0.2">
      <c r="B99" s="12"/>
    </row>
    <row r="100" spans="2:3" x14ac:dyDescent="0.2">
      <c r="B100" s="12"/>
    </row>
    <row r="101" spans="2:3" x14ac:dyDescent="0.2">
      <c r="B101" s="12"/>
    </row>
    <row r="102" spans="2:3" x14ac:dyDescent="0.2">
      <c r="B102" s="12"/>
    </row>
    <row r="103" spans="2:3" x14ac:dyDescent="0.2">
      <c r="B103" s="12"/>
    </row>
    <row r="104" spans="2:3" x14ac:dyDescent="0.2">
      <c r="B104" s="12"/>
    </row>
    <row r="105" spans="2:3" x14ac:dyDescent="0.2">
      <c r="B105" s="12"/>
    </row>
    <row r="106" spans="2:3" x14ac:dyDescent="0.2">
      <c r="B106" s="12"/>
    </row>
    <row r="107" spans="2:3" x14ac:dyDescent="0.2">
      <c r="B107" s="12"/>
    </row>
    <row r="108" spans="2:3" x14ac:dyDescent="0.2">
      <c r="B108" s="12"/>
    </row>
    <row r="109" spans="2:3" x14ac:dyDescent="0.2">
      <c r="B109" s="12"/>
    </row>
    <row r="110" spans="2:3" x14ac:dyDescent="0.2">
      <c r="B110" s="12"/>
      <c r="C110" s="9"/>
    </row>
    <row r="111" spans="2:3" x14ac:dyDescent="0.2">
      <c r="B111" s="12"/>
    </row>
    <row r="112" spans="2:3" x14ac:dyDescent="0.2">
      <c r="B112" s="12"/>
    </row>
    <row r="113" spans="2:2" x14ac:dyDescent="0.2">
      <c r="B113" s="12"/>
    </row>
    <row r="114" spans="2:2" x14ac:dyDescent="0.2">
      <c r="B114" s="12"/>
    </row>
    <row r="115" spans="2:2" x14ac:dyDescent="0.2">
      <c r="B115" s="12"/>
    </row>
    <row r="116" spans="2:2" x14ac:dyDescent="0.2">
      <c r="B116" s="12"/>
    </row>
    <row r="117" spans="2:2" x14ac:dyDescent="0.2">
      <c r="B117" s="12"/>
    </row>
    <row r="118" spans="2:2" x14ac:dyDescent="0.2">
      <c r="B118" s="12"/>
    </row>
    <row r="119" spans="2:2" x14ac:dyDescent="0.2">
      <c r="B119" s="12"/>
    </row>
    <row r="120" spans="2:2" x14ac:dyDescent="0.2">
      <c r="B120" s="12"/>
    </row>
    <row r="121" spans="2:2" x14ac:dyDescent="0.2">
      <c r="B121" s="12"/>
    </row>
    <row r="122" spans="2:2" x14ac:dyDescent="0.2">
      <c r="B122" s="12"/>
    </row>
    <row r="123" spans="2:2" x14ac:dyDescent="0.2">
      <c r="B123" s="12"/>
    </row>
    <row r="124" spans="2:2" x14ac:dyDescent="0.2">
      <c r="B124" s="12"/>
    </row>
    <row r="125" spans="2:2" x14ac:dyDescent="0.2">
      <c r="B125" s="12"/>
    </row>
    <row r="126" spans="2:2" x14ac:dyDescent="0.2">
      <c r="B126" s="12"/>
    </row>
    <row r="127" spans="2:2" x14ac:dyDescent="0.2">
      <c r="B127" s="12"/>
    </row>
    <row r="128" spans="2:2" x14ac:dyDescent="0.2">
      <c r="B128" s="12"/>
    </row>
    <row r="129" spans="1:2" x14ac:dyDescent="0.2">
      <c r="B129" s="12"/>
    </row>
    <row r="130" spans="1:2" x14ac:dyDescent="0.2">
      <c r="B130" s="11"/>
    </row>
    <row r="131" spans="1:2" x14ac:dyDescent="0.2">
      <c r="B131" s="11"/>
    </row>
    <row r="132" spans="1:2" x14ac:dyDescent="0.2">
      <c r="A132" s="13"/>
      <c r="B132" s="14"/>
    </row>
  </sheetData>
  <phoneticPr fontId="25" type="noConversion"/>
  <hyperlinks>
    <hyperlink ref="B3" location="'Просвещение 15'!A1" display="ПЕРЕЙТИ К ПРОСМОТРУ"/>
    <hyperlink ref="B4" location="'Королева 21 к1'!A1" display="ПЕРЕЙТИ К ПРОСМОТРУ"/>
    <hyperlink ref="B5" location="'Комсомола 14'!A1" display="ПЕРЕЙТИ К ПРОСМОТРУ"/>
    <hyperlink ref="B6" location="'ВШ 17 к1'!A1" display="ПЕРЕЙТИ К ПРОСМОТРУ"/>
    <hyperlink ref="B7" location="'ВШ 17 к2'!A1" display="ПЕРЕЙТИ К ПРОСМОТРУ"/>
    <hyperlink ref="B8" location="'ВШ 17 к3'!A1" display="ПЕРЕЙТИ К ПРОСМОТРУ"/>
    <hyperlink ref="B9" location="'ВШ 17к4'!A1" display="ПЕРЕЙТИ К ПРОСМОТРУ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1"/>
  <sheetViews>
    <sheetView workbookViewId="0">
      <pane xSplit="2" ySplit="11" topLeftCell="C42" activePane="bottomRight" state="frozen"/>
      <selection activeCell="C54" sqref="C54"/>
      <selection pane="topRight" activeCell="C54" sqref="C54"/>
      <selection pane="bottomLeft" activeCell="C54" sqref="C54"/>
      <selection pane="bottomRight" activeCell="F17" sqref="F17"/>
    </sheetView>
  </sheetViews>
  <sheetFormatPr defaultRowHeight="12.75" x14ac:dyDescent="0.2"/>
  <cols>
    <col min="1" max="1" width="40" style="2" customWidth="1"/>
    <col min="2" max="2" width="18.42578125" style="1" customWidth="1"/>
    <col min="3" max="3" width="15" style="1" customWidth="1"/>
    <col min="4" max="4" width="18.7109375" style="1" customWidth="1"/>
    <col min="5" max="5" width="16" style="1" customWidth="1"/>
    <col min="6" max="6" width="16.7109375" style="1" customWidth="1"/>
    <col min="7" max="7" width="13" style="1" customWidth="1"/>
    <col min="8" max="8" width="15" style="1" customWidth="1"/>
    <col min="9" max="9" width="14.5703125" style="1" customWidth="1"/>
    <col min="10" max="10" width="22.42578125" style="1" customWidth="1"/>
    <col min="11" max="11" width="23.7109375" style="2" customWidth="1"/>
    <col min="12" max="12" width="49.7109375" style="1" customWidth="1"/>
    <col min="13" max="13" width="27.5703125" style="1" customWidth="1"/>
    <col min="14" max="16384" width="9.140625" style="1"/>
  </cols>
  <sheetData>
    <row r="1" spans="1:13" x14ac:dyDescent="0.2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118"/>
    </row>
    <row r="2" spans="1:13" ht="12.75" customHeight="1" x14ac:dyDescent="0.2">
      <c r="A2" s="258" t="s">
        <v>142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x14ac:dyDescent="0.2">
      <c r="A3" s="258" t="s">
        <v>204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x14ac:dyDescent="0.2">
      <c r="A4" s="259" t="s">
        <v>147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3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x14ac:dyDescent="0.2">
      <c r="A6" s="266" t="s">
        <v>203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20"/>
    </row>
    <row r="7" spans="1:13" x14ac:dyDescent="0.2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27" customHeight="1" x14ac:dyDescent="0.2">
      <c r="A8" s="248" t="s">
        <v>16</v>
      </c>
      <c r="B8" s="248" t="s">
        <v>181</v>
      </c>
      <c r="C8" s="264" t="s">
        <v>128</v>
      </c>
      <c r="D8" s="264" t="s">
        <v>140</v>
      </c>
      <c r="E8" s="248" t="s">
        <v>17</v>
      </c>
      <c r="F8" s="248"/>
      <c r="G8" s="249" t="s">
        <v>18</v>
      </c>
      <c r="H8" s="249"/>
      <c r="I8" s="249" t="s">
        <v>55</v>
      </c>
      <c r="J8" s="250" t="s">
        <v>145</v>
      </c>
      <c r="K8" s="250" t="s">
        <v>144</v>
      </c>
      <c r="L8" s="249" t="s">
        <v>62</v>
      </c>
      <c r="M8" s="249" t="s">
        <v>63</v>
      </c>
    </row>
    <row r="9" spans="1:13" ht="60" x14ac:dyDescent="0.2">
      <c r="A9" s="248"/>
      <c r="B9" s="248"/>
      <c r="C9" s="265"/>
      <c r="D9" s="265"/>
      <c r="E9" s="119" t="s">
        <v>19</v>
      </c>
      <c r="F9" s="119" t="s">
        <v>20</v>
      </c>
      <c r="G9" s="120" t="s">
        <v>21</v>
      </c>
      <c r="H9" s="33" t="s">
        <v>22</v>
      </c>
      <c r="I9" s="249"/>
      <c r="J9" s="251"/>
      <c r="K9" s="251"/>
      <c r="L9" s="249"/>
      <c r="M9" s="249"/>
    </row>
    <row r="10" spans="1:13" ht="12.75" customHeight="1" x14ac:dyDescent="0.2">
      <c r="A10" s="34" t="s">
        <v>23</v>
      </c>
      <c r="B10" s="260"/>
      <c r="C10" s="261">
        <f t="shared" ref="C10" si="0">SUM(C12:C34)</f>
        <v>0</v>
      </c>
      <c r="D10" s="261">
        <f>SUM(D12:D34)</f>
        <v>796154.67011966289</v>
      </c>
      <c r="E10" s="261">
        <f>SUM(E12:E34)</f>
        <v>4337214</v>
      </c>
      <c r="F10" s="261">
        <f>SUM(F12:F34)</f>
        <v>4549251</v>
      </c>
      <c r="G10" s="260">
        <f>SUM(G12:G34)</f>
        <v>4214705.12</v>
      </c>
      <c r="H10" s="260">
        <f>SUM(H12:H34)</f>
        <v>4210059.8152000001</v>
      </c>
      <c r="I10" s="260">
        <f>E10-F10</f>
        <v>-212037</v>
      </c>
      <c r="J10" s="260">
        <f t="shared" ref="J10:K10" si="1">SUM(J12:J34)</f>
        <v>825439.5801196635</v>
      </c>
      <c r="K10" s="260">
        <f t="shared" si="1"/>
        <v>0</v>
      </c>
      <c r="L10" s="263"/>
      <c r="M10" s="263"/>
    </row>
    <row r="11" spans="1:13" x14ac:dyDescent="0.2">
      <c r="A11" s="35" t="s">
        <v>24</v>
      </c>
      <c r="B11" s="260"/>
      <c r="C11" s="262"/>
      <c r="D11" s="262"/>
      <c r="E11" s="262"/>
      <c r="F11" s="262"/>
      <c r="G11" s="260"/>
      <c r="H11" s="260"/>
      <c r="I11" s="260"/>
      <c r="J11" s="260"/>
      <c r="K11" s="260"/>
      <c r="L11" s="263"/>
      <c r="M11" s="263"/>
    </row>
    <row r="12" spans="1:13" ht="63.75" x14ac:dyDescent="0.2">
      <c r="A12" s="273" t="s">
        <v>25</v>
      </c>
      <c r="B12" s="254">
        <v>8.8800000000000008</v>
      </c>
      <c r="C12" s="270"/>
      <c r="D12" s="267">
        <v>122583.41331476165</v>
      </c>
      <c r="E12" s="255">
        <v>667798</v>
      </c>
      <c r="F12" s="252">
        <v>675671.81520000007</v>
      </c>
      <c r="G12" s="255">
        <v>637663</v>
      </c>
      <c r="H12" s="252">
        <v>675671.81520000007</v>
      </c>
      <c r="I12" s="252">
        <v>-7873.81520000007</v>
      </c>
      <c r="J12" s="267">
        <f>152718.413314762-50000</f>
        <v>102718.413314762</v>
      </c>
      <c r="K12" s="267"/>
      <c r="L12" s="36" t="s">
        <v>148</v>
      </c>
      <c r="M12" s="36" t="s">
        <v>65</v>
      </c>
    </row>
    <row r="13" spans="1:13" ht="25.5" x14ac:dyDescent="0.2">
      <c r="A13" s="273"/>
      <c r="B13" s="254"/>
      <c r="C13" s="271"/>
      <c r="D13" s="268"/>
      <c r="E13" s="255"/>
      <c r="F13" s="252"/>
      <c r="G13" s="255"/>
      <c r="H13" s="252"/>
      <c r="I13" s="252"/>
      <c r="J13" s="268"/>
      <c r="K13" s="268"/>
      <c r="L13" s="37" t="s">
        <v>66</v>
      </c>
      <c r="M13" s="36" t="s">
        <v>149</v>
      </c>
    </row>
    <row r="14" spans="1:13" x14ac:dyDescent="0.2">
      <c r="A14" s="273"/>
      <c r="B14" s="254"/>
      <c r="C14" s="271"/>
      <c r="D14" s="268"/>
      <c r="E14" s="255"/>
      <c r="F14" s="252"/>
      <c r="G14" s="255"/>
      <c r="H14" s="252"/>
      <c r="I14" s="252"/>
      <c r="J14" s="268"/>
      <c r="K14" s="268"/>
      <c r="L14" s="36" t="s">
        <v>70</v>
      </c>
      <c r="M14" s="36" t="s">
        <v>69</v>
      </c>
    </row>
    <row r="15" spans="1:13" ht="25.5" x14ac:dyDescent="0.2">
      <c r="A15" s="273"/>
      <c r="B15" s="254"/>
      <c r="C15" s="272"/>
      <c r="D15" s="269"/>
      <c r="E15" s="255"/>
      <c r="F15" s="252"/>
      <c r="G15" s="255"/>
      <c r="H15" s="252"/>
      <c r="I15" s="252"/>
      <c r="J15" s="269"/>
      <c r="K15" s="269"/>
      <c r="L15" s="36" t="s">
        <v>68</v>
      </c>
      <c r="M15" s="36" t="s">
        <v>69</v>
      </c>
    </row>
    <row r="16" spans="1:13" ht="25.5" x14ac:dyDescent="0.2">
      <c r="A16" s="38" t="s">
        <v>26</v>
      </c>
      <c r="B16" s="147">
        <v>5.08</v>
      </c>
      <c r="C16" s="147"/>
      <c r="D16" s="186">
        <v>76376.413643576001</v>
      </c>
      <c r="E16" s="185">
        <v>416076</v>
      </c>
      <c r="F16" s="186">
        <v>365800</v>
      </c>
      <c r="G16" s="185">
        <v>456006</v>
      </c>
      <c r="H16" s="179">
        <v>427642</v>
      </c>
      <c r="I16" s="186">
        <v>50276</v>
      </c>
      <c r="J16" s="186">
        <v>36446.413643575972</v>
      </c>
      <c r="K16" s="149"/>
      <c r="L16" s="36" t="s">
        <v>150</v>
      </c>
      <c r="M16" s="36" t="s">
        <v>65</v>
      </c>
    </row>
    <row r="17" spans="1:13" ht="38.25" x14ac:dyDescent="0.2">
      <c r="A17" s="67" t="s">
        <v>2</v>
      </c>
      <c r="B17" s="147">
        <v>1.75</v>
      </c>
      <c r="C17" s="147"/>
      <c r="D17" s="186">
        <v>33049.527052855723</v>
      </c>
      <c r="E17" s="185">
        <v>180044</v>
      </c>
      <c r="F17" s="186">
        <v>227000.58480000001</v>
      </c>
      <c r="G17" s="185">
        <v>165694</v>
      </c>
      <c r="H17" s="186">
        <v>165694</v>
      </c>
      <c r="I17" s="186">
        <v>-46956.584800000011</v>
      </c>
      <c r="J17" s="186">
        <v>47399.52705285573</v>
      </c>
      <c r="K17" s="149"/>
      <c r="L17" s="36" t="s">
        <v>151</v>
      </c>
      <c r="M17" s="36" t="s">
        <v>65</v>
      </c>
    </row>
    <row r="18" spans="1:13" ht="64.5" customHeight="1" x14ac:dyDescent="0.2">
      <c r="A18" s="68" t="s">
        <v>28</v>
      </c>
      <c r="B18" s="147">
        <v>1.38</v>
      </c>
      <c r="C18" s="147"/>
      <c r="D18" s="186">
        <v>20202.093376074939</v>
      </c>
      <c r="E18" s="185">
        <v>110055</v>
      </c>
      <c r="F18" s="186">
        <v>373034</v>
      </c>
      <c r="G18" s="185">
        <v>110615</v>
      </c>
      <c r="H18" s="186">
        <v>110615</v>
      </c>
      <c r="I18" s="186">
        <v>-262979</v>
      </c>
      <c r="J18" s="186">
        <v>19642.093376074947</v>
      </c>
      <c r="K18" s="149"/>
      <c r="L18" s="36" t="s">
        <v>152</v>
      </c>
      <c r="M18" s="36" t="s">
        <v>65</v>
      </c>
    </row>
    <row r="19" spans="1:13" x14ac:dyDescent="0.2">
      <c r="A19" s="253" t="s">
        <v>29</v>
      </c>
      <c r="B19" s="254">
        <v>0.67</v>
      </c>
      <c r="C19" s="270"/>
      <c r="D19" s="267">
        <v>8094.9717485941464</v>
      </c>
      <c r="E19" s="255">
        <v>44099</v>
      </c>
      <c r="F19" s="252">
        <v>43860</v>
      </c>
      <c r="G19" s="255">
        <v>50335</v>
      </c>
      <c r="H19" s="252">
        <v>43860</v>
      </c>
      <c r="I19" s="252">
        <v>239</v>
      </c>
      <c r="J19" s="267">
        <v>1858.9717485941437</v>
      </c>
      <c r="K19" s="267"/>
      <c r="L19" s="42" t="s">
        <v>74</v>
      </c>
      <c r="M19" s="42" t="s">
        <v>153</v>
      </c>
    </row>
    <row r="20" spans="1:13" ht="25.5" x14ac:dyDescent="0.2">
      <c r="A20" s="253"/>
      <c r="B20" s="254"/>
      <c r="C20" s="274"/>
      <c r="D20" s="269"/>
      <c r="E20" s="255"/>
      <c r="F20" s="252"/>
      <c r="G20" s="255"/>
      <c r="H20" s="252"/>
      <c r="I20" s="252"/>
      <c r="J20" s="269"/>
      <c r="K20" s="269"/>
      <c r="L20" s="36" t="s">
        <v>154</v>
      </c>
      <c r="M20" s="36" t="s">
        <v>65</v>
      </c>
    </row>
    <row r="21" spans="1:13" x14ac:dyDescent="0.2">
      <c r="A21" s="253" t="s">
        <v>57</v>
      </c>
      <c r="B21" s="254">
        <v>0.53</v>
      </c>
      <c r="C21" s="270"/>
      <c r="D21" s="267">
        <v>8003.3735059458213</v>
      </c>
      <c r="E21" s="255">
        <v>43600</v>
      </c>
      <c r="F21" s="252">
        <v>46800</v>
      </c>
      <c r="G21" s="255">
        <v>49008</v>
      </c>
      <c r="H21" s="252">
        <v>46800</v>
      </c>
      <c r="I21" s="252">
        <v>-3200</v>
      </c>
      <c r="J21" s="267">
        <v>2595.3735059458195</v>
      </c>
      <c r="K21" s="267"/>
      <c r="L21" s="42" t="s">
        <v>74</v>
      </c>
      <c r="M21" s="42" t="s">
        <v>155</v>
      </c>
    </row>
    <row r="22" spans="1:13" ht="25.5" x14ac:dyDescent="0.2">
      <c r="A22" s="253"/>
      <c r="B22" s="254"/>
      <c r="C22" s="274"/>
      <c r="D22" s="272"/>
      <c r="E22" s="255"/>
      <c r="F22" s="252"/>
      <c r="G22" s="255"/>
      <c r="H22" s="252"/>
      <c r="I22" s="252"/>
      <c r="J22" s="269"/>
      <c r="K22" s="269"/>
      <c r="L22" s="36" t="s">
        <v>154</v>
      </c>
      <c r="M22" s="36" t="s">
        <v>65</v>
      </c>
    </row>
    <row r="23" spans="1:13" x14ac:dyDescent="0.2">
      <c r="A23" s="253" t="s">
        <v>58</v>
      </c>
      <c r="B23" s="254">
        <v>0</v>
      </c>
      <c r="C23" s="270"/>
      <c r="D23" s="267">
        <v>11020.241477739848</v>
      </c>
      <c r="E23" s="255">
        <v>60035</v>
      </c>
      <c r="F23" s="252">
        <v>66427</v>
      </c>
      <c r="G23" s="255">
        <v>57480</v>
      </c>
      <c r="H23" s="252">
        <v>66427</v>
      </c>
      <c r="I23" s="252">
        <v>-6392</v>
      </c>
      <c r="J23" s="267">
        <v>13575.241477739852</v>
      </c>
      <c r="K23" s="267"/>
      <c r="L23" s="42" t="s">
        <v>156</v>
      </c>
      <c r="M23" s="42" t="s">
        <v>157</v>
      </c>
    </row>
    <row r="24" spans="1:13" ht="38.25" x14ac:dyDescent="0.2">
      <c r="A24" s="253"/>
      <c r="B24" s="254"/>
      <c r="C24" s="274"/>
      <c r="D24" s="272"/>
      <c r="E24" s="255"/>
      <c r="F24" s="252"/>
      <c r="G24" s="255"/>
      <c r="H24" s="252"/>
      <c r="I24" s="252"/>
      <c r="J24" s="269"/>
      <c r="K24" s="269"/>
      <c r="L24" s="36" t="s">
        <v>158</v>
      </c>
      <c r="M24" s="36" t="s">
        <v>65</v>
      </c>
    </row>
    <row r="25" spans="1:13" ht="25.5" x14ac:dyDescent="0.2">
      <c r="A25" s="253" t="s">
        <v>59</v>
      </c>
      <c r="B25" s="254">
        <v>1.47</v>
      </c>
      <c r="C25" s="270"/>
      <c r="D25" s="267">
        <v>25543.978064068735</v>
      </c>
      <c r="E25" s="255">
        <v>139156</v>
      </c>
      <c r="F25" s="252">
        <v>126960</v>
      </c>
      <c r="G25" s="255">
        <v>135484</v>
      </c>
      <c r="H25" s="252">
        <v>126960</v>
      </c>
      <c r="I25" s="252">
        <v>12196</v>
      </c>
      <c r="J25" s="267">
        <v>29215.978064068739</v>
      </c>
      <c r="K25" s="267"/>
      <c r="L25" s="42" t="s">
        <v>159</v>
      </c>
      <c r="M25" s="42" t="s">
        <v>160</v>
      </c>
    </row>
    <row r="26" spans="1:13" x14ac:dyDescent="0.2">
      <c r="A26" s="253"/>
      <c r="B26" s="254"/>
      <c r="C26" s="275"/>
      <c r="D26" s="271"/>
      <c r="E26" s="255"/>
      <c r="F26" s="252"/>
      <c r="G26" s="255"/>
      <c r="H26" s="252"/>
      <c r="I26" s="252"/>
      <c r="J26" s="268"/>
      <c r="K26" s="268"/>
      <c r="L26" s="42" t="s">
        <v>82</v>
      </c>
      <c r="M26" s="36" t="s">
        <v>69</v>
      </c>
    </row>
    <row r="27" spans="1:13" ht="25.5" x14ac:dyDescent="0.2">
      <c r="A27" s="253"/>
      <c r="B27" s="254"/>
      <c r="C27" s="274"/>
      <c r="D27" s="272"/>
      <c r="E27" s="255"/>
      <c r="F27" s="252"/>
      <c r="G27" s="255"/>
      <c r="H27" s="252"/>
      <c r="I27" s="252"/>
      <c r="J27" s="269"/>
      <c r="K27" s="269"/>
      <c r="L27" s="36" t="s">
        <v>154</v>
      </c>
      <c r="M27" s="36" t="s">
        <v>65</v>
      </c>
    </row>
    <row r="28" spans="1:13" x14ac:dyDescent="0.2">
      <c r="A28" s="253" t="s">
        <v>33</v>
      </c>
      <c r="B28" s="254">
        <v>20.85</v>
      </c>
      <c r="C28" s="270"/>
      <c r="D28" s="267">
        <v>461345.65469684586</v>
      </c>
      <c r="E28" s="255">
        <v>2513274</v>
      </c>
      <c r="F28" s="252">
        <v>2460737.5999999996</v>
      </c>
      <c r="G28" s="255">
        <v>2396943.12</v>
      </c>
      <c r="H28" s="252">
        <v>2392172</v>
      </c>
      <c r="I28" s="252">
        <v>52536.400000000373</v>
      </c>
      <c r="J28" s="267">
        <f>577676.534696846-43223.97</f>
        <v>534452.56469684606</v>
      </c>
      <c r="K28" s="267"/>
      <c r="L28" s="42" t="s">
        <v>161</v>
      </c>
      <c r="M28" s="42" t="s">
        <v>162</v>
      </c>
    </row>
    <row r="29" spans="1:13" x14ac:dyDescent="0.2">
      <c r="A29" s="253"/>
      <c r="B29" s="254"/>
      <c r="C29" s="275"/>
      <c r="D29" s="271"/>
      <c r="E29" s="255"/>
      <c r="F29" s="252"/>
      <c r="G29" s="255"/>
      <c r="H29" s="252"/>
      <c r="I29" s="252"/>
      <c r="J29" s="268"/>
      <c r="K29" s="268"/>
      <c r="L29" s="42" t="s">
        <v>163</v>
      </c>
      <c r="M29" s="42" t="s">
        <v>164</v>
      </c>
    </row>
    <row r="30" spans="1:13" x14ac:dyDescent="0.2">
      <c r="A30" s="253"/>
      <c r="B30" s="254"/>
      <c r="C30" s="274"/>
      <c r="D30" s="272"/>
      <c r="E30" s="255"/>
      <c r="F30" s="252"/>
      <c r="G30" s="255"/>
      <c r="H30" s="252"/>
      <c r="I30" s="252"/>
      <c r="J30" s="269"/>
      <c r="K30" s="269"/>
      <c r="L30" s="42" t="s">
        <v>165</v>
      </c>
      <c r="M30" s="36" t="s">
        <v>65</v>
      </c>
    </row>
    <row r="31" spans="1:13" ht="25.5" x14ac:dyDescent="0.2">
      <c r="A31" s="253" t="s">
        <v>60</v>
      </c>
      <c r="B31" s="254">
        <v>119</v>
      </c>
      <c r="C31" s="270"/>
      <c r="D31" s="267">
        <v>7842.0210905392532</v>
      </c>
      <c r="E31" s="255">
        <v>42721</v>
      </c>
      <c r="F31" s="252">
        <v>37128</v>
      </c>
      <c r="G31" s="255">
        <v>38387</v>
      </c>
      <c r="H31" s="252">
        <v>37128</v>
      </c>
      <c r="I31" s="252">
        <v>5593</v>
      </c>
      <c r="J31" s="267">
        <v>12176.021090539252</v>
      </c>
      <c r="K31" s="267"/>
      <c r="L31" s="42" t="s">
        <v>166</v>
      </c>
      <c r="M31" s="42" t="s">
        <v>167</v>
      </c>
    </row>
    <row r="32" spans="1:13" ht="25.5" x14ac:dyDescent="0.2">
      <c r="A32" s="253"/>
      <c r="B32" s="254"/>
      <c r="C32" s="274"/>
      <c r="D32" s="272"/>
      <c r="E32" s="255"/>
      <c r="F32" s="252"/>
      <c r="G32" s="255"/>
      <c r="H32" s="252"/>
      <c r="I32" s="252"/>
      <c r="J32" s="269"/>
      <c r="K32" s="269"/>
      <c r="L32" s="36" t="s">
        <v>154</v>
      </c>
      <c r="M32" s="36" t="s">
        <v>65</v>
      </c>
    </row>
    <row r="33" spans="1:13" ht="51" x14ac:dyDescent="0.2">
      <c r="A33" s="253" t="s">
        <v>35</v>
      </c>
      <c r="B33" s="254">
        <v>1</v>
      </c>
      <c r="C33" s="270"/>
      <c r="D33" s="267">
        <v>22092.982148660903</v>
      </c>
      <c r="E33" s="255">
        <v>120356</v>
      </c>
      <c r="F33" s="252">
        <v>125832</v>
      </c>
      <c r="G33" s="255">
        <v>117090</v>
      </c>
      <c r="H33" s="252">
        <v>117090</v>
      </c>
      <c r="I33" s="252">
        <v>-5476</v>
      </c>
      <c r="J33" s="267">
        <v>25358.9821486609</v>
      </c>
      <c r="K33" s="267"/>
      <c r="L33" s="42" t="s">
        <v>168</v>
      </c>
      <c r="M33" s="42" t="s">
        <v>169</v>
      </c>
    </row>
    <row r="34" spans="1:13" ht="25.5" x14ac:dyDescent="0.2">
      <c r="A34" s="253"/>
      <c r="B34" s="254"/>
      <c r="C34" s="274"/>
      <c r="D34" s="269"/>
      <c r="E34" s="255"/>
      <c r="F34" s="252"/>
      <c r="G34" s="255"/>
      <c r="H34" s="252"/>
      <c r="I34" s="252"/>
      <c r="J34" s="269"/>
      <c r="K34" s="269"/>
      <c r="L34" s="36" t="s">
        <v>154</v>
      </c>
      <c r="M34" s="36" t="s">
        <v>65</v>
      </c>
    </row>
    <row r="35" spans="1:13" x14ac:dyDescent="0.2">
      <c r="A35" s="44" t="s">
        <v>40</v>
      </c>
      <c r="B35" s="154"/>
      <c r="C35" s="276"/>
      <c r="D35" s="276">
        <f>SUM(D37:D41)</f>
        <v>312113.28700721543</v>
      </c>
      <c r="E35" s="276">
        <f t="shared" ref="E35:K35" si="2">SUM(E37:E41)</f>
        <v>1707862.01</v>
      </c>
      <c r="F35" s="276">
        <f t="shared" si="2"/>
        <v>1729394.97</v>
      </c>
      <c r="G35" s="276">
        <f t="shared" si="2"/>
        <v>1614320.7599999998</v>
      </c>
      <c r="H35" s="276">
        <f t="shared" si="2"/>
        <v>1729394.97</v>
      </c>
      <c r="I35" s="276">
        <f t="shared" si="2"/>
        <v>-21532.959999999963</v>
      </c>
      <c r="J35" s="276">
        <f t="shared" si="2"/>
        <v>405654.53700721537</v>
      </c>
      <c r="K35" s="276">
        <f t="shared" si="2"/>
        <v>204393</v>
      </c>
      <c r="L35" s="125"/>
      <c r="M35" s="124"/>
    </row>
    <row r="36" spans="1:13" x14ac:dyDescent="0.2">
      <c r="A36" s="45" t="s">
        <v>24</v>
      </c>
      <c r="B36" s="154"/>
      <c r="C36" s="272"/>
      <c r="D36" s="272"/>
      <c r="E36" s="272"/>
      <c r="F36" s="272"/>
      <c r="G36" s="272"/>
      <c r="H36" s="272"/>
      <c r="I36" s="272"/>
      <c r="J36" s="272"/>
      <c r="K36" s="272"/>
      <c r="L36" s="125"/>
      <c r="M36" s="124"/>
    </row>
    <row r="37" spans="1:13" s="6" customFormat="1" x14ac:dyDescent="0.2">
      <c r="A37" s="46" t="s">
        <v>41</v>
      </c>
      <c r="B37" s="149" t="s">
        <v>42</v>
      </c>
      <c r="C37" s="41">
        <f>E37/84.48</f>
        <v>2331.5983664772725</v>
      </c>
      <c r="D37" s="186">
        <f>J37+G37-E37</f>
        <v>36157.154381588858</v>
      </c>
      <c r="E37" s="186">
        <v>196973.43</v>
      </c>
      <c r="F37" s="252">
        <v>1225432.98</v>
      </c>
      <c r="G37" s="187">
        <v>190848.76</v>
      </c>
      <c r="H37" s="252">
        <v>1225432.98</v>
      </c>
      <c r="I37" s="252">
        <v>23660.989999999991</v>
      </c>
      <c r="J37" s="186">
        <v>42281.824381588842</v>
      </c>
      <c r="K37" s="252">
        <v>178433</v>
      </c>
      <c r="L37" s="263" t="s">
        <v>170</v>
      </c>
      <c r="M37" s="263" t="s">
        <v>171</v>
      </c>
    </row>
    <row r="38" spans="1:13" s="6" customFormat="1" x14ac:dyDescent="0.2">
      <c r="A38" s="46" t="s">
        <v>43</v>
      </c>
      <c r="B38" s="149" t="s">
        <v>44</v>
      </c>
      <c r="C38" s="41">
        <f>E38/1400</f>
        <v>751.51467142857143</v>
      </c>
      <c r="D38" s="207">
        <f t="shared" ref="D38:D43" si="3">J38+G38-E38</f>
        <v>193131.04713067459</v>
      </c>
      <c r="E38" s="186">
        <v>1052120.54</v>
      </c>
      <c r="F38" s="252"/>
      <c r="G38" s="187">
        <v>935572.32000000007</v>
      </c>
      <c r="H38" s="252"/>
      <c r="I38" s="252"/>
      <c r="J38" s="186">
        <v>309679.26713067456</v>
      </c>
      <c r="K38" s="252"/>
      <c r="L38" s="263"/>
      <c r="M38" s="263"/>
    </row>
    <row r="39" spans="1:13" s="6" customFormat="1" x14ac:dyDescent="0.2">
      <c r="A39" s="46" t="s">
        <v>45</v>
      </c>
      <c r="B39" s="149" t="s">
        <v>46</v>
      </c>
      <c r="C39" s="41">
        <f>E39/21</f>
        <v>5567.4247619047628</v>
      </c>
      <c r="D39" s="207">
        <f t="shared" si="3"/>
        <v>33104.439999999973</v>
      </c>
      <c r="E39" s="186">
        <v>116915.92000000001</v>
      </c>
      <c r="F39" s="252">
        <v>320719.25</v>
      </c>
      <c r="G39" s="187">
        <v>142990.35999999999</v>
      </c>
      <c r="H39" s="252">
        <v>320719.25</v>
      </c>
      <c r="I39" s="252">
        <v>-39436.469999999972</v>
      </c>
      <c r="J39" s="186">
        <v>7030</v>
      </c>
      <c r="K39" s="252">
        <f>9892+16068</f>
        <v>25960</v>
      </c>
      <c r="L39" s="263" t="s">
        <v>172</v>
      </c>
      <c r="M39" s="263" t="s">
        <v>173</v>
      </c>
    </row>
    <row r="40" spans="1:13" s="6" customFormat="1" ht="25.5" x14ac:dyDescent="0.2">
      <c r="A40" s="49" t="s">
        <v>47</v>
      </c>
      <c r="B40" s="148" t="s">
        <v>46</v>
      </c>
      <c r="C40" s="41">
        <f>C37+C39</f>
        <v>7899.0231283820358</v>
      </c>
      <c r="D40" s="207">
        <f t="shared" si="3"/>
        <v>17140.810000000027</v>
      </c>
      <c r="E40" s="186">
        <v>164366.85999999999</v>
      </c>
      <c r="F40" s="252"/>
      <c r="G40" s="187">
        <v>169387.67</v>
      </c>
      <c r="H40" s="252"/>
      <c r="I40" s="252"/>
      <c r="J40" s="186">
        <v>12120</v>
      </c>
      <c r="K40" s="252"/>
      <c r="L40" s="263"/>
      <c r="M40" s="263"/>
    </row>
    <row r="41" spans="1:13" ht="25.5" x14ac:dyDescent="0.2">
      <c r="A41" s="49" t="s">
        <v>48</v>
      </c>
      <c r="B41" s="148" t="s">
        <v>94</v>
      </c>
      <c r="C41" s="41">
        <f>E41/2</f>
        <v>88742.63</v>
      </c>
      <c r="D41" s="207">
        <f t="shared" si="3"/>
        <v>32579.835494951956</v>
      </c>
      <c r="E41" s="185">
        <v>177485.26</v>
      </c>
      <c r="F41" s="152">
        <v>183242.74</v>
      </c>
      <c r="G41" s="187">
        <v>175521.65</v>
      </c>
      <c r="H41" s="152">
        <v>183242.74</v>
      </c>
      <c r="I41" s="186">
        <v>-5757.4799999999814</v>
      </c>
      <c r="J41" s="186">
        <v>34543.445494951971</v>
      </c>
      <c r="K41" s="152">
        <v>0</v>
      </c>
      <c r="L41" s="50" t="s">
        <v>95</v>
      </c>
      <c r="M41" s="50" t="s">
        <v>174</v>
      </c>
    </row>
    <row r="42" spans="1:13" ht="84" x14ac:dyDescent="0.2">
      <c r="A42" s="69" t="s">
        <v>49</v>
      </c>
      <c r="B42" s="153">
        <v>7.9</v>
      </c>
      <c r="C42" s="153"/>
      <c r="D42" s="208">
        <f t="shared" si="3"/>
        <v>148446.60850100557</v>
      </c>
      <c r="E42" s="181">
        <v>808693</v>
      </c>
      <c r="F42" s="181">
        <v>813784</v>
      </c>
      <c r="G42" s="181">
        <v>741264</v>
      </c>
      <c r="H42" s="181">
        <v>741264</v>
      </c>
      <c r="I42" s="181">
        <v>-5091</v>
      </c>
      <c r="J42" s="181">
        <v>215875.60850100557</v>
      </c>
      <c r="K42" s="153">
        <v>0</v>
      </c>
      <c r="L42" s="54" t="s">
        <v>120</v>
      </c>
      <c r="M42" s="36" t="s">
        <v>65</v>
      </c>
    </row>
    <row r="43" spans="1:13" ht="25.5" x14ac:dyDescent="0.2">
      <c r="A43" s="34" t="s">
        <v>50</v>
      </c>
      <c r="B43" s="153">
        <v>2.3599999999999999E-2</v>
      </c>
      <c r="C43" s="153"/>
      <c r="D43" s="208">
        <f t="shared" si="3"/>
        <v>18764.401135171531</v>
      </c>
      <c r="E43" s="180">
        <v>102222.88</v>
      </c>
      <c r="F43" s="180">
        <v>102222.88</v>
      </c>
      <c r="G43" s="180">
        <v>100565.01</v>
      </c>
      <c r="H43" s="181">
        <v>100565.01</v>
      </c>
      <c r="I43" s="181">
        <v>0</v>
      </c>
      <c r="J43" s="181">
        <v>20422.271135171541</v>
      </c>
      <c r="K43" s="153">
        <v>0</v>
      </c>
      <c r="L43" s="56" t="s">
        <v>175</v>
      </c>
      <c r="M43" s="124" t="s">
        <v>99</v>
      </c>
    </row>
    <row r="44" spans="1:13" s="144" customFormat="1" x14ac:dyDescent="0.2">
      <c r="A44" s="57" t="s">
        <v>51</v>
      </c>
      <c r="B44" s="120"/>
      <c r="C44" s="120"/>
      <c r="D44" s="206">
        <f>SUM(D10,D35,D42:D43)</f>
        <v>1275478.9667630552</v>
      </c>
      <c r="E44" s="125">
        <f t="shared" ref="E44:K44" si="4">SUM(E10,E35,E42:E43)</f>
        <v>6955991.8899999997</v>
      </c>
      <c r="F44" s="125">
        <f t="shared" si="4"/>
        <v>7194652.8499999996</v>
      </c>
      <c r="G44" s="125">
        <f t="shared" si="4"/>
        <v>6670854.8899999997</v>
      </c>
      <c r="H44" s="125">
        <f t="shared" si="4"/>
        <v>6781283.7951999996</v>
      </c>
      <c r="I44" s="125">
        <f t="shared" si="4"/>
        <v>-238660.95999999996</v>
      </c>
      <c r="J44" s="125">
        <f>SUM(J10,J35,J42:J43)</f>
        <v>1467391.9967630559</v>
      </c>
      <c r="K44" s="125">
        <f t="shared" si="4"/>
        <v>204393</v>
      </c>
      <c r="L44" s="120"/>
      <c r="M44" s="44"/>
    </row>
    <row r="45" spans="1:13" x14ac:dyDescent="0.2">
      <c r="D45" s="163">
        <f>SUM(D10,D35,D42:D43)</f>
        <v>1275478.9667630552</v>
      </c>
      <c r="E45" s="106"/>
      <c r="J45" s="161">
        <v>1467124</v>
      </c>
    </row>
    <row r="46" spans="1:13" ht="30" customHeight="1" x14ac:dyDescent="0.2">
      <c r="A46" s="145" t="s">
        <v>178</v>
      </c>
      <c r="B46" s="140">
        <v>139769</v>
      </c>
      <c r="C46" s="1" t="s">
        <v>4</v>
      </c>
      <c r="J46" s="163">
        <f>J45-J44</f>
        <v>-267.99676305591129</v>
      </c>
    </row>
    <row r="47" spans="1:13" ht="29.25" customHeight="1" x14ac:dyDescent="0.2">
      <c r="A47" s="145" t="s">
        <v>179</v>
      </c>
      <c r="B47" s="140">
        <v>29340.094800000079</v>
      </c>
      <c r="C47" s="1" t="s">
        <v>4</v>
      </c>
    </row>
    <row r="48" spans="1:13" ht="13.5" thickBot="1" x14ac:dyDescent="0.25">
      <c r="B48" s="161">
        <v>24569</v>
      </c>
    </row>
    <row r="49" spans="1:3" x14ac:dyDescent="0.2">
      <c r="A49" s="241" t="s">
        <v>197</v>
      </c>
      <c r="B49" s="242"/>
      <c r="C49" s="243"/>
    </row>
    <row r="50" spans="1:3" ht="19.5" customHeight="1" x14ac:dyDescent="0.2">
      <c r="A50" s="225" t="s">
        <v>198</v>
      </c>
      <c r="B50" s="244" t="s">
        <v>199</v>
      </c>
      <c r="C50" s="245"/>
    </row>
    <row r="51" spans="1:3" ht="41.25" customHeight="1" thickBot="1" x14ac:dyDescent="0.25">
      <c r="A51" s="226" t="s">
        <v>200</v>
      </c>
      <c r="B51" s="246" t="s">
        <v>201</v>
      </c>
      <c r="C51" s="247"/>
    </row>
  </sheetData>
  <mergeCells count="140">
    <mergeCell ref="C35:C36"/>
    <mergeCell ref="H31:H32"/>
    <mergeCell ref="I31:I32"/>
    <mergeCell ref="K31:K32"/>
    <mergeCell ref="H25:H27"/>
    <mergeCell ref="I25:I27"/>
    <mergeCell ref="K25:K27"/>
    <mergeCell ref="D19:D20"/>
    <mergeCell ref="D21:D22"/>
    <mergeCell ref="D23:D24"/>
    <mergeCell ref="D25:D27"/>
    <mergeCell ref="D35:D36"/>
    <mergeCell ref="E35:E36"/>
    <mergeCell ref="F35:F36"/>
    <mergeCell ref="G35:G36"/>
    <mergeCell ref="H35:H36"/>
    <mergeCell ref="I35:I36"/>
    <mergeCell ref="J35:J36"/>
    <mergeCell ref="K35:K36"/>
    <mergeCell ref="J19:J20"/>
    <mergeCell ref="I28:I30"/>
    <mergeCell ref="K28:K30"/>
    <mergeCell ref="K23:K24"/>
    <mergeCell ref="J23:J24"/>
    <mergeCell ref="M37:M38"/>
    <mergeCell ref="F39:F40"/>
    <mergeCell ref="H39:H40"/>
    <mergeCell ref="I39:I40"/>
    <mergeCell ref="L39:L40"/>
    <mergeCell ref="M39:M40"/>
    <mergeCell ref="K39:K40"/>
    <mergeCell ref="F37:F38"/>
    <mergeCell ref="H37:H38"/>
    <mergeCell ref="I37:I38"/>
    <mergeCell ref="L37:L38"/>
    <mergeCell ref="K37:K38"/>
    <mergeCell ref="K33:K34"/>
    <mergeCell ref="J31:J32"/>
    <mergeCell ref="J33:J34"/>
    <mergeCell ref="D31:D32"/>
    <mergeCell ref="A31:A32"/>
    <mergeCell ref="B31:B32"/>
    <mergeCell ref="E31:E32"/>
    <mergeCell ref="F31:F32"/>
    <mergeCell ref="G31:G32"/>
    <mergeCell ref="C31:C32"/>
    <mergeCell ref="C33:C34"/>
    <mergeCell ref="D33:D34"/>
    <mergeCell ref="C28:C30"/>
    <mergeCell ref="D28:D30"/>
    <mergeCell ref="J25:J27"/>
    <mergeCell ref="J28:J30"/>
    <mergeCell ref="C25:C27"/>
    <mergeCell ref="A33:A34"/>
    <mergeCell ref="B33:B34"/>
    <mergeCell ref="E33:E34"/>
    <mergeCell ref="F33:F34"/>
    <mergeCell ref="G33:G34"/>
    <mergeCell ref="H33:H34"/>
    <mergeCell ref="I33:I34"/>
    <mergeCell ref="K21:K22"/>
    <mergeCell ref="H21:H22"/>
    <mergeCell ref="I21:I22"/>
    <mergeCell ref="J21:J22"/>
    <mergeCell ref="C21:C22"/>
    <mergeCell ref="A25:A27"/>
    <mergeCell ref="B25:B27"/>
    <mergeCell ref="E25:E27"/>
    <mergeCell ref="F25:F27"/>
    <mergeCell ref="G25:G27"/>
    <mergeCell ref="C23:C24"/>
    <mergeCell ref="A21:A22"/>
    <mergeCell ref="B21:B22"/>
    <mergeCell ref="E21:E22"/>
    <mergeCell ref="F21:F22"/>
    <mergeCell ref="G21:G22"/>
    <mergeCell ref="K12:K15"/>
    <mergeCell ref="A19:A20"/>
    <mergeCell ref="B19:B20"/>
    <mergeCell ref="E19:E20"/>
    <mergeCell ref="F19:F20"/>
    <mergeCell ref="G19:G20"/>
    <mergeCell ref="H19:H20"/>
    <mergeCell ref="I19:I20"/>
    <mergeCell ref="K19:K20"/>
    <mergeCell ref="J12:J15"/>
    <mergeCell ref="D12:D15"/>
    <mergeCell ref="C12:C15"/>
    <mergeCell ref="A12:A15"/>
    <mergeCell ref="B12:B15"/>
    <mergeCell ref="E12:E15"/>
    <mergeCell ref="F12:F15"/>
    <mergeCell ref="G12:G15"/>
    <mergeCell ref="C19:C20"/>
    <mergeCell ref="A1:I1"/>
    <mergeCell ref="A2:M2"/>
    <mergeCell ref="A3:M3"/>
    <mergeCell ref="A4:M4"/>
    <mergeCell ref="K8:K9"/>
    <mergeCell ref="L8:L9"/>
    <mergeCell ref="M8:M9"/>
    <mergeCell ref="B10:B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C8:C9"/>
    <mergeCell ref="D8:D9"/>
    <mergeCell ref="C10:C11"/>
    <mergeCell ref="D10:D11"/>
    <mergeCell ref="A6:L6"/>
    <mergeCell ref="A49:C49"/>
    <mergeCell ref="B50:C50"/>
    <mergeCell ref="B51:C51"/>
    <mergeCell ref="A8:A9"/>
    <mergeCell ref="B8:B9"/>
    <mergeCell ref="E8:F8"/>
    <mergeCell ref="G8:H8"/>
    <mergeCell ref="I8:I9"/>
    <mergeCell ref="J8:J9"/>
    <mergeCell ref="H12:H15"/>
    <mergeCell ref="I12:I15"/>
    <mergeCell ref="A23:A24"/>
    <mergeCell ref="B23:B24"/>
    <mergeCell ref="E23:E24"/>
    <mergeCell ref="F23:F24"/>
    <mergeCell ref="G23:G24"/>
    <mergeCell ref="H23:H24"/>
    <mergeCell ref="I23:I24"/>
    <mergeCell ref="A28:A30"/>
    <mergeCell ref="B28:B30"/>
    <mergeCell ref="E28:E30"/>
    <mergeCell ref="F28:F30"/>
    <mergeCell ref="G28:G30"/>
    <mergeCell ref="H28:H30"/>
  </mergeCells>
  <phoneticPr fontId="25" type="noConversion"/>
  <hyperlinks>
    <hyperlink ref="A1:I1" location="'адресный список'!A1" display="'адресный список'!A1"/>
    <hyperlink ref="A36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8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3"/>
  <sheetViews>
    <sheetView zoomScaleNormal="100" workbookViewId="0">
      <pane xSplit="1" ySplit="10" topLeftCell="G31" activePane="bottomRight" state="frozen"/>
      <selection activeCell="C54" sqref="C54"/>
      <selection pane="topRight" activeCell="C54" sqref="C54"/>
      <selection pane="bottomLeft" activeCell="C54" sqref="C54"/>
      <selection pane="bottomRight" activeCell="M37" sqref="M37"/>
    </sheetView>
  </sheetViews>
  <sheetFormatPr defaultColWidth="32.7109375" defaultRowHeight="12.75" x14ac:dyDescent="0.2"/>
  <cols>
    <col min="1" max="1" width="41.85546875" style="2" customWidth="1"/>
    <col min="2" max="2" width="20.42578125" style="1" customWidth="1"/>
    <col min="3" max="3" width="14.85546875" style="1" customWidth="1"/>
    <col min="4" max="4" width="19.5703125" style="1" customWidth="1"/>
    <col min="5" max="5" width="15.5703125" style="1" customWidth="1"/>
    <col min="6" max="6" width="14" style="1" customWidth="1"/>
    <col min="7" max="7" width="15.5703125" style="1" customWidth="1"/>
    <col min="8" max="8" width="15.85546875" style="2" customWidth="1"/>
    <col min="9" max="9" width="20" style="1" customWidth="1"/>
    <col min="10" max="10" width="22" style="1" customWidth="1"/>
    <col min="11" max="11" width="19" style="1" customWidth="1"/>
    <col min="12" max="12" width="46.28515625" style="1" customWidth="1"/>
    <col min="13" max="13" width="15.85546875" style="1" customWidth="1"/>
    <col min="14" max="14" width="19.28515625" style="1" customWidth="1"/>
    <col min="15" max="16384" width="32.7109375" style="1"/>
  </cols>
  <sheetData>
    <row r="1" spans="1:13" x14ac:dyDescent="0.2">
      <c r="A1" s="285" t="s">
        <v>1</v>
      </c>
      <c r="B1" s="286"/>
      <c r="C1" s="286"/>
      <c r="D1" s="286"/>
      <c r="E1" s="286"/>
      <c r="F1" s="286"/>
      <c r="G1" s="286"/>
    </row>
    <row r="2" spans="1:13" ht="12.75" customHeight="1" x14ac:dyDescent="0.2">
      <c r="A2" s="4"/>
      <c r="B2" s="17"/>
      <c r="C2" s="17"/>
      <c r="D2" s="17"/>
      <c r="E2" s="17"/>
      <c r="F2" s="17"/>
      <c r="G2" s="17"/>
      <c r="H2" s="17"/>
    </row>
    <row r="3" spans="1:13" x14ac:dyDescent="0.2">
      <c r="A3" s="258" t="s">
        <v>142</v>
      </c>
      <c r="B3" s="258"/>
      <c r="C3" s="258"/>
      <c r="D3" s="258"/>
      <c r="E3" s="258"/>
      <c r="F3" s="258"/>
      <c r="G3" s="258"/>
      <c r="H3" s="258"/>
      <c r="I3" s="258"/>
    </row>
    <row r="4" spans="1:13" ht="12.75" customHeight="1" x14ac:dyDescent="0.2">
      <c r="A4" s="258" t="s">
        <v>204</v>
      </c>
      <c r="B4" s="258"/>
      <c r="C4" s="258"/>
      <c r="D4" s="258"/>
      <c r="E4" s="258"/>
      <c r="F4" s="258"/>
      <c r="G4" s="258"/>
      <c r="H4" s="258"/>
      <c r="I4" s="258"/>
    </row>
    <row r="5" spans="1:13" ht="12.75" customHeight="1" x14ac:dyDescent="0.2">
      <c r="A5" s="259" t="s">
        <v>102</v>
      </c>
      <c r="B5" s="259"/>
      <c r="C5" s="259"/>
      <c r="D5" s="259"/>
      <c r="E5" s="259"/>
      <c r="F5" s="259"/>
      <c r="G5" s="259"/>
      <c r="H5" s="259"/>
      <c r="I5" s="259"/>
    </row>
    <row r="6" spans="1:13" ht="12.75" customHeight="1" x14ac:dyDescent="0.2">
      <c r="A6" s="220"/>
      <c r="B6" s="220"/>
      <c r="C6" s="220"/>
      <c r="D6" s="220"/>
      <c r="E6" s="220"/>
      <c r="F6" s="220"/>
      <c r="G6" s="220"/>
      <c r="H6" s="220"/>
      <c r="I6" s="220"/>
    </row>
    <row r="7" spans="1:13" ht="13.5" customHeight="1" x14ac:dyDescent="0.2">
      <c r="A7" s="266" t="s">
        <v>203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</row>
    <row r="8" spans="1:13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13" ht="15" customHeight="1" x14ac:dyDescent="0.2">
      <c r="A9" s="248" t="s">
        <v>16</v>
      </c>
      <c r="B9" s="248" t="s">
        <v>180</v>
      </c>
      <c r="C9" s="264" t="s">
        <v>128</v>
      </c>
      <c r="D9" s="264" t="s">
        <v>140</v>
      </c>
      <c r="E9" s="248" t="s">
        <v>17</v>
      </c>
      <c r="F9" s="248"/>
      <c r="G9" s="287" t="s">
        <v>18</v>
      </c>
      <c r="H9" s="288"/>
      <c r="I9" s="278" t="s">
        <v>55</v>
      </c>
      <c r="J9" s="264" t="s">
        <v>145</v>
      </c>
      <c r="K9" s="264" t="s">
        <v>144</v>
      </c>
      <c r="L9" s="278" t="s">
        <v>62</v>
      </c>
      <c r="M9" s="249" t="s">
        <v>196</v>
      </c>
    </row>
    <row r="10" spans="1:13" ht="63" customHeight="1" x14ac:dyDescent="0.2">
      <c r="A10" s="248"/>
      <c r="B10" s="248"/>
      <c r="C10" s="265"/>
      <c r="D10" s="265"/>
      <c r="E10" s="119" t="s">
        <v>19</v>
      </c>
      <c r="F10" s="119" t="s">
        <v>20</v>
      </c>
      <c r="G10" s="120" t="s">
        <v>21</v>
      </c>
      <c r="H10" s="33" t="s">
        <v>22</v>
      </c>
      <c r="I10" s="279"/>
      <c r="J10" s="265"/>
      <c r="K10" s="265"/>
      <c r="L10" s="279"/>
      <c r="M10" s="249"/>
    </row>
    <row r="11" spans="1:13" x14ac:dyDescent="0.2">
      <c r="A11" s="34" t="s">
        <v>23</v>
      </c>
      <c r="B11" s="248"/>
      <c r="C11" s="277"/>
      <c r="D11" s="277">
        <f>SUM(D13:D24)</f>
        <v>1679835.5634912704</v>
      </c>
      <c r="E11" s="277">
        <f>SUM(E13:E24)</f>
        <v>7735617</v>
      </c>
      <c r="F11" s="277">
        <f t="shared" ref="F11:H11" si="0">SUM(F13:F24)</f>
        <v>8761197.531200001</v>
      </c>
      <c r="G11" s="123">
        <f t="shared" si="0"/>
        <v>7502989</v>
      </c>
      <c r="H11" s="123">
        <f t="shared" si="0"/>
        <v>9216156.531200001</v>
      </c>
      <c r="I11" s="153">
        <f>E11-F11</f>
        <v>-1025580.531200001</v>
      </c>
      <c r="J11" s="123">
        <f t="shared" ref="J11" si="1">SUM(J13:J24)</f>
        <v>1912463.5634912704</v>
      </c>
      <c r="K11" s="153"/>
      <c r="L11" s="124"/>
      <c r="M11" s="213">
        <f t="shared" ref="M11" si="2">SUM(M13:M24)</f>
        <v>150.95130641588474</v>
      </c>
    </row>
    <row r="12" spans="1:13" x14ac:dyDescent="0.2">
      <c r="A12" s="35" t="s">
        <v>24</v>
      </c>
      <c r="B12" s="248"/>
      <c r="C12" s="277"/>
      <c r="D12" s="277"/>
      <c r="E12" s="277"/>
      <c r="F12" s="277"/>
      <c r="G12" s="123"/>
      <c r="H12" s="123"/>
      <c r="I12" s="153"/>
      <c r="J12" s="123"/>
      <c r="K12" s="153"/>
      <c r="L12" s="124"/>
      <c r="M12" s="3"/>
    </row>
    <row r="13" spans="1:13" ht="89.25" x14ac:dyDescent="0.2">
      <c r="A13" s="38" t="s">
        <v>25</v>
      </c>
      <c r="B13" s="66">
        <v>8.58</v>
      </c>
      <c r="C13" s="73"/>
      <c r="D13" s="135">
        <f>J13+G13-E13</f>
        <v>483845.81999999983</v>
      </c>
      <c r="E13" s="73">
        <v>2068036</v>
      </c>
      <c r="F13" s="73">
        <v>2333945.46</v>
      </c>
      <c r="G13" s="73">
        <v>2136315</v>
      </c>
      <c r="H13" s="74">
        <v>2912784.46</v>
      </c>
      <c r="I13" s="137">
        <v>-265909.45999999996</v>
      </c>
      <c r="J13" s="134">
        <v>415566.82</v>
      </c>
      <c r="K13" s="137"/>
      <c r="L13" s="36" t="s">
        <v>103</v>
      </c>
      <c r="M13" s="223">
        <f>E13*$M$36/($E$35-$E$34)</f>
        <v>40.355247152887806</v>
      </c>
    </row>
    <row r="14" spans="1:13" ht="38.25" x14ac:dyDescent="0.2">
      <c r="A14" s="38" t="s">
        <v>26</v>
      </c>
      <c r="B14" s="66">
        <v>5.12</v>
      </c>
      <c r="C14" s="73"/>
      <c r="D14" s="135">
        <f t="shared" ref="D14:D24" si="3">J14+G14-E14</f>
        <v>246051.43072408298</v>
      </c>
      <c r="E14" s="73">
        <v>1217422</v>
      </c>
      <c r="F14" s="73">
        <v>1785249</v>
      </c>
      <c r="G14" s="73">
        <v>1129792</v>
      </c>
      <c r="H14" s="74">
        <v>1785249</v>
      </c>
      <c r="I14" s="137">
        <v>-567827</v>
      </c>
      <c r="J14" s="134">
        <v>333681.43072408298</v>
      </c>
      <c r="K14" s="137"/>
      <c r="L14" s="37" t="s">
        <v>104</v>
      </c>
      <c r="M14" s="223">
        <f t="shared" ref="M14:M33" si="4">E14*$M$36/($E$35-$E$34)</f>
        <v>23.756533106465739</v>
      </c>
    </row>
    <row r="15" spans="1:13" x14ac:dyDescent="0.2">
      <c r="A15" s="67" t="s">
        <v>105</v>
      </c>
      <c r="B15" s="66">
        <v>0.85</v>
      </c>
      <c r="C15" s="73"/>
      <c r="D15" s="135">
        <f t="shared" si="3"/>
        <v>40855.642962408456</v>
      </c>
      <c r="E15" s="73">
        <v>202147</v>
      </c>
      <c r="F15" s="73">
        <v>166860</v>
      </c>
      <c r="G15" s="73">
        <v>198308</v>
      </c>
      <c r="H15" s="74">
        <v>166860</v>
      </c>
      <c r="I15" s="137">
        <v>35287</v>
      </c>
      <c r="J15" s="134">
        <v>44694.642962408456</v>
      </c>
      <c r="K15" s="137"/>
      <c r="L15" s="36" t="s">
        <v>106</v>
      </c>
      <c r="M15" s="223">
        <f t="shared" si="4"/>
        <v>3.9446567401219377</v>
      </c>
    </row>
    <row r="16" spans="1:13" ht="38.25" x14ac:dyDescent="0.2">
      <c r="A16" s="67" t="s">
        <v>27</v>
      </c>
      <c r="B16" s="66">
        <v>1.54</v>
      </c>
      <c r="C16" s="73"/>
      <c r="D16" s="135">
        <f t="shared" si="3"/>
        <v>76398.65981159301</v>
      </c>
      <c r="E16" s="73">
        <v>378008</v>
      </c>
      <c r="F16" s="73">
        <v>542526.19999999995</v>
      </c>
      <c r="G16" s="73">
        <v>351104</v>
      </c>
      <c r="H16" s="74">
        <v>542526.19999999995</v>
      </c>
      <c r="I16" s="137">
        <v>-164518.19999999995</v>
      </c>
      <c r="J16" s="134">
        <v>103302.65981159301</v>
      </c>
      <c r="K16" s="137"/>
      <c r="L16" s="36" t="s">
        <v>107</v>
      </c>
      <c r="M16" s="223">
        <f t="shared" si="4"/>
        <v>7.3763736539251807</v>
      </c>
    </row>
    <row r="17" spans="1:13" ht="63.75" x14ac:dyDescent="0.2">
      <c r="A17" s="68" t="s">
        <v>28</v>
      </c>
      <c r="B17" s="66">
        <v>1.63</v>
      </c>
      <c r="C17" s="73"/>
      <c r="D17" s="135">
        <f t="shared" si="3"/>
        <v>71484.591816579457</v>
      </c>
      <c r="E17" s="73">
        <v>353694</v>
      </c>
      <c r="F17" s="73">
        <v>400202.73119999998</v>
      </c>
      <c r="G17" s="73">
        <v>330792</v>
      </c>
      <c r="H17" s="74">
        <v>400202.73119999998</v>
      </c>
      <c r="I17" s="137">
        <v>-46508.73119999998</v>
      </c>
      <c r="J17" s="134">
        <v>94386.591816579457</v>
      </c>
      <c r="K17" s="137"/>
      <c r="L17" s="36" t="s">
        <v>108</v>
      </c>
      <c r="M17" s="223">
        <f t="shared" si="4"/>
        <v>6.901915047172051</v>
      </c>
    </row>
    <row r="18" spans="1:13" ht="25.5" x14ac:dyDescent="0.2">
      <c r="A18" s="38" t="s">
        <v>57</v>
      </c>
      <c r="B18" s="66">
        <v>0.53</v>
      </c>
      <c r="C18" s="73"/>
      <c r="D18" s="135">
        <f t="shared" si="3"/>
        <v>23374.867729015765</v>
      </c>
      <c r="E18" s="73">
        <v>115655</v>
      </c>
      <c r="F18" s="73">
        <v>140376</v>
      </c>
      <c r="G18" s="73">
        <v>120462</v>
      </c>
      <c r="H18" s="74">
        <v>140376</v>
      </c>
      <c r="I18" s="137">
        <v>-24721</v>
      </c>
      <c r="J18" s="134">
        <v>18567.867729015765</v>
      </c>
      <c r="K18" s="137"/>
      <c r="L18" s="42" t="s">
        <v>109</v>
      </c>
      <c r="M18" s="223">
        <f t="shared" si="4"/>
        <v>2.2568688888719728</v>
      </c>
    </row>
    <row r="19" spans="1:13" ht="38.25" x14ac:dyDescent="0.2">
      <c r="A19" s="38" t="s">
        <v>110</v>
      </c>
      <c r="B19" s="66">
        <v>0.42</v>
      </c>
      <c r="C19" s="73"/>
      <c r="D19" s="135">
        <f t="shared" si="3"/>
        <v>33264.040509965504</v>
      </c>
      <c r="E19" s="73">
        <v>164585</v>
      </c>
      <c r="F19" s="73">
        <v>104643</v>
      </c>
      <c r="G19" s="73">
        <v>163957</v>
      </c>
      <c r="H19" s="74">
        <v>104643</v>
      </c>
      <c r="I19" s="137">
        <v>59942</v>
      </c>
      <c r="J19" s="134">
        <v>33892.040509965504</v>
      </c>
      <c r="K19" s="137"/>
      <c r="L19" s="36" t="s">
        <v>111</v>
      </c>
      <c r="M19" s="223">
        <f t="shared" si="4"/>
        <v>3.211679270891822</v>
      </c>
    </row>
    <row r="20" spans="1:13" ht="25.5" x14ac:dyDescent="0.2">
      <c r="A20" s="38" t="s">
        <v>32</v>
      </c>
      <c r="B20" s="66">
        <v>2.69</v>
      </c>
      <c r="C20" s="73"/>
      <c r="D20" s="135">
        <f t="shared" si="3"/>
        <v>116867.87117054395</v>
      </c>
      <c r="E20" s="73">
        <v>578243</v>
      </c>
      <c r="F20" s="73">
        <v>663215</v>
      </c>
      <c r="G20" s="73">
        <v>544895</v>
      </c>
      <c r="H20" s="74">
        <v>539335</v>
      </c>
      <c r="I20" s="137">
        <v>-84972</v>
      </c>
      <c r="J20" s="134">
        <v>150215.87117054395</v>
      </c>
      <c r="K20" s="137"/>
      <c r="L20" s="42" t="s">
        <v>112</v>
      </c>
      <c r="M20" s="223">
        <f t="shared" si="4"/>
        <v>11.28372000266306</v>
      </c>
    </row>
    <row r="21" spans="1:13" ht="38.25" x14ac:dyDescent="0.2">
      <c r="A21" s="38" t="s">
        <v>33</v>
      </c>
      <c r="B21" s="66">
        <v>7.81</v>
      </c>
      <c r="C21" s="73"/>
      <c r="D21" s="135">
        <f t="shared" si="3"/>
        <v>456702.83484110516</v>
      </c>
      <c r="E21" s="73">
        <v>2009711</v>
      </c>
      <c r="F21" s="73">
        <v>1996000</v>
      </c>
      <c r="G21" s="73">
        <v>1939949</v>
      </c>
      <c r="H21" s="74">
        <v>1996000</v>
      </c>
      <c r="I21" s="137">
        <v>13711</v>
      </c>
      <c r="J21" s="134">
        <v>526464.83484110516</v>
      </c>
      <c r="K21" s="137"/>
      <c r="L21" s="36" t="s">
        <v>113</v>
      </c>
      <c r="M21" s="223">
        <f t="shared" si="4"/>
        <v>39.217104591446819</v>
      </c>
    </row>
    <row r="22" spans="1:13" ht="25.5" x14ac:dyDescent="0.2">
      <c r="A22" s="38" t="s">
        <v>114</v>
      </c>
      <c r="B22" s="66">
        <v>80</v>
      </c>
      <c r="C22" s="73"/>
      <c r="D22" s="135">
        <f t="shared" si="3"/>
        <v>58724.264559313131</v>
      </c>
      <c r="E22" s="73">
        <v>290558</v>
      </c>
      <c r="F22" s="73">
        <v>276750</v>
      </c>
      <c r="G22" s="73">
        <v>279197</v>
      </c>
      <c r="H22" s="74">
        <v>276750</v>
      </c>
      <c r="I22" s="137">
        <v>13808</v>
      </c>
      <c r="J22" s="134">
        <v>70085.264559313131</v>
      </c>
      <c r="K22" s="137"/>
      <c r="L22" s="42" t="s">
        <v>115</v>
      </c>
      <c r="M22" s="223">
        <f t="shared" si="4"/>
        <v>5.6698915793771363</v>
      </c>
    </row>
    <row r="23" spans="1:13" ht="51" x14ac:dyDescent="0.2">
      <c r="A23" s="38" t="s">
        <v>35</v>
      </c>
      <c r="B23" s="66">
        <v>0.81</v>
      </c>
      <c r="C23" s="73"/>
      <c r="D23" s="135">
        <f t="shared" si="3"/>
        <v>37830.077531572198</v>
      </c>
      <c r="E23" s="73">
        <v>187177</v>
      </c>
      <c r="F23" s="73">
        <v>191272</v>
      </c>
      <c r="G23" s="73">
        <v>143389</v>
      </c>
      <c r="H23" s="74">
        <v>191272</v>
      </c>
      <c r="I23" s="137">
        <v>-4095</v>
      </c>
      <c r="J23" s="134">
        <v>81618.077531572198</v>
      </c>
      <c r="K23" s="137"/>
      <c r="L23" s="42" t="s">
        <v>116</v>
      </c>
      <c r="M23" s="223">
        <f t="shared" si="4"/>
        <v>3.6525351088356688</v>
      </c>
    </row>
    <row r="24" spans="1:13" ht="25.5" x14ac:dyDescent="0.2">
      <c r="A24" s="38" t="s">
        <v>117</v>
      </c>
      <c r="B24" s="66">
        <v>53.4</v>
      </c>
      <c r="C24" s="73"/>
      <c r="D24" s="135">
        <f t="shared" si="3"/>
        <v>34435.461835090886</v>
      </c>
      <c r="E24" s="73">
        <v>170381</v>
      </c>
      <c r="F24" s="73">
        <v>160158.13999999998</v>
      </c>
      <c r="G24" s="73">
        <v>164829</v>
      </c>
      <c r="H24" s="74">
        <v>160158.13999999998</v>
      </c>
      <c r="I24" s="137">
        <v>10222.860000000015</v>
      </c>
      <c r="J24" s="134">
        <v>39987.461835090886</v>
      </c>
      <c r="K24" s="137"/>
      <c r="L24" s="36" t="s">
        <v>118</v>
      </c>
      <c r="M24" s="223">
        <f t="shared" si="4"/>
        <v>3.3247812732255038</v>
      </c>
    </row>
    <row r="25" spans="1:13" x14ac:dyDescent="0.2">
      <c r="A25" s="78" t="s">
        <v>40</v>
      </c>
      <c r="B25" s="79"/>
      <c r="C25" s="80"/>
      <c r="D25" s="293">
        <f>SUM(D27:D31)</f>
        <v>1457702.4685420408</v>
      </c>
      <c r="E25" s="293">
        <f t="shared" ref="E25:K25" si="5">SUM(E27:E31)</f>
        <v>7212472</v>
      </c>
      <c r="F25" s="293">
        <f t="shared" si="5"/>
        <v>7029180</v>
      </c>
      <c r="G25" s="293">
        <f t="shared" si="5"/>
        <v>6826722</v>
      </c>
      <c r="H25" s="293">
        <f t="shared" si="5"/>
        <v>6284096</v>
      </c>
      <c r="I25" s="293">
        <f t="shared" si="5"/>
        <v>133291</v>
      </c>
      <c r="J25" s="293">
        <f t="shared" si="5"/>
        <v>1843452.4685420408</v>
      </c>
      <c r="K25" s="293">
        <f t="shared" si="5"/>
        <v>1502900.41</v>
      </c>
      <c r="L25" s="120"/>
      <c r="M25" s="224">
        <f t="shared" si="4"/>
        <v>140.74275793230052</v>
      </c>
    </row>
    <row r="26" spans="1:13" x14ac:dyDescent="0.2">
      <c r="A26" s="81" t="s">
        <v>24</v>
      </c>
      <c r="B26" s="82"/>
      <c r="C26" s="83"/>
      <c r="D26" s="294"/>
      <c r="E26" s="294"/>
      <c r="F26" s="294"/>
      <c r="G26" s="294"/>
      <c r="H26" s="294"/>
      <c r="I26" s="294"/>
      <c r="J26" s="294"/>
      <c r="K26" s="294"/>
      <c r="L26" s="120"/>
      <c r="M26" s="223">
        <f t="shared" si="4"/>
        <v>0</v>
      </c>
    </row>
    <row r="27" spans="1:13" x14ac:dyDescent="0.2">
      <c r="A27" s="84" t="s">
        <v>41</v>
      </c>
      <c r="B27" s="56" t="s">
        <v>42</v>
      </c>
      <c r="C27" s="41">
        <v>18792.353219696968</v>
      </c>
      <c r="D27" s="135">
        <f t="shared" ref="D27:D33" si="6">J27+G27-E27</f>
        <v>320863.13397168647</v>
      </c>
      <c r="E27" s="77">
        <v>1587578</v>
      </c>
      <c r="F27" s="291">
        <v>5232065</v>
      </c>
      <c r="G27" s="85">
        <v>1509322</v>
      </c>
      <c r="H27" s="280">
        <v>4462867</v>
      </c>
      <c r="I27" s="289">
        <v>0</v>
      </c>
      <c r="J27" s="134">
        <v>399119.13397168647</v>
      </c>
      <c r="K27" s="280">
        <v>1415065</v>
      </c>
      <c r="L27" s="283" t="s">
        <v>192</v>
      </c>
      <c r="M27" s="223">
        <f t="shared" si="4"/>
        <v>30.979684379037561</v>
      </c>
    </row>
    <row r="28" spans="1:13" x14ac:dyDescent="0.2">
      <c r="A28" s="84" t="s">
        <v>43</v>
      </c>
      <c r="B28" s="41" t="s">
        <v>44</v>
      </c>
      <c r="C28" s="41">
        <v>2511.5064285714284</v>
      </c>
      <c r="D28" s="135">
        <f t="shared" si="6"/>
        <v>710635.79435218405</v>
      </c>
      <c r="E28" s="77">
        <v>3516109</v>
      </c>
      <c r="F28" s="292"/>
      <c r="G28" s="85">
        <v>3264968</v>
      </c>
      <c r="H28" s="281"/>
      <c r="I28" s="290"/>
      <c r="J28" s="134">
        <v>961776.79435218405</v>
      </c>
      <c r="K28" s="282"/>
      <c r="L28" s="284"/>
      <c r="M28" s="223">
        <f t="shared" si="4"/>
        <v>68.612658440903928</v>
      </c>
    </row>
    <row r="29" spans="1:13" x14ac:dyDescent="0.2">
      <c r="A29" s="84" t="s">
        <v>45</v>
      </c>
      <c r="B29" s="56" t="s">
        <v>46</v>
      </c>
      <c r="C29" s="41">
        <v>31927.380952380954</v>
      </c>
      <c r="D29" s="135">
        <f t="shared" si="6"/>
        <v>135508.74964862596</v>
      </c>
      <c r="E29" s="77">
        <v>670475</v>
      </c>
      <c r="F29" s="291">
        <v>1449656</v>
      </c>
      <c r="G29" s="85">
        <v>656843</v>
      </c>
      <c r="H29" s="280">
        <v>1434979</v>
      </c>
      <c r="I29" s="289">
        <v>103404</v>
      </c>
      <c r="J29" s="134">
        <v>149140.74964862596</v>
      </c>
      <c r="K29" s="280">
        <v>82260</v>
      </c>
      <c r="L29" s="283" t="s">
        <v>119</v>
      </c>
      <c r="M29" s="223">
        <f t="shared" si="4"/>
        <v>13.083517083277298</v>
      </c>
    </row>
    <row r="30" spans="1:13" x14ac:dyDescent="0.2">
      <c r="A30" s="86" t="s">
        <v>47</v>
      </c>
      <c r="B30" s="87" t="s">
        <v>46</v>
      </c>
      <c r="C30" s="41">
        <v>50719.734172077922</v>
      </c>
      <c r="D30" s="135">
        <f t="shared" si="6"/>
        <v>214429.92663739109</v>
      </c>
      <c r="E30" s="77">
        <v>1060964</v>
      </c>
      <c r="F30" s="292"/>
      <c r="G30" s="85">
        <v>1035390</v>
      </c>
      <c r="H30" s="281"/>
      <c r="I30" s="290"/>
      <c r="J30" s="134">
        <v>240003.92663739109</v>
      </c>
      <c r="K30" s="282"/>
      <c r="L30" s="284"/>
      <c r="M30" s="223">
        <f t="shared" si="4"/>
        <v>20.703442512759189</v>
      </c>
    </row>
    <row r="31" spans="1:13" ht="25.5" x14ac:dyDescent="0.2">
      <c r="A31" s="86" t="s">
        <v>48</v>
      </c>
      <c r="B31" s="87" t="s">
        <v>94</v>
      </c>
      <c r="C31" s="41">
        <v>188673</v>
      </c>
      <c r="D31" s="135">
        <f t="shared" si="6"/>
        <v>76264.86393215321</v>
      </c>
      <c r="E31" s="88">
        <v>377346</v>
      </c>
      <c r="F31" s="88">
        <v>347459</v>
      </c>
      <c r="G31" s="76">
        <v>360199</v>
      </c>
      <c r="H31" s="135">
        <v>386250</v>
      </c>
      <c r="I31" s="136">
        <v>29887</v>
      </c>
      <c r="J31" s="134">
        <v>93411.86393215321</v>
      </c>
      <c r="K31" s="139">
        <v>5575.41</v>
      </c>
      <c r="L31" s="50" t="s">
        <v>146</v>
      </c>
      <c r="M31" s="223">
        <f t="shared" si="4"/>
        <v>7.3634555163225412</v>
      </c>
    </row>
    <row r="32" spans="1:13" ht="84" x14ac:dyDescent="0.2">
      <c r="A32" s="164" t="s">
        <v>49</v>
      </c>
      <c r="B32" s="90">
        <f>'[1]Тарифы Нач Затр '!$E$28</f>
        <v>5.2</v>
      </c>
      <c r="C32" s="91"/>
      <c r="D32" s="209">
        <f t="shared" si="6"/>
        <v>255236.86143220915</v>
      </c>
      <c r="E32" s="91">
        <v>1262870</v>
      </c>
      <c r="F32" s="91">
        <v>1347731</v>
      </c>
      <c r="G32" s="95">
        <v>1191073</v>
      </c>
      <c r="H32" s="80">
        <v>1047731</v>
      </c>
      <c r="I32" s="210">
        <v>-84861</v>
      </c>
      <c r="J32" s="94">
        <v>327033.86143220915</v>
      </c>
      <c r="K32" s="137"/>
      <c r="L32" s="54" t="s">
        <v>120</v>
      </c>
      <c r="M32" s="224">
        <f t="shared" si="4"/>
        <v>24.643396426352069</v>
      </c>
    </row>
    <row r="33" spans="1:13" ht="25.5" x14ac:dyDescent="0.2">
      <c r="A33" s="92" t="s">
        <v>50</v>
      </c>
      <c r="B33" s="93">
        <v>2.3599999999999999E-2</v>
      </c>
      <c r="C33" s="94"/>
      <c r="D33" s="209">
        <f t="shared" si="6"/>
        <v>69005.32587535918</v>
      </c>
      <c r="E33" s="94">
        <v>341427</v>
      </c>
      <c r="F33" s="94">
        <v>341427</v>
      </c>
      <c r="G33" s="95">
        <v>320922</v>
      </c>
      <c r="H33" s="80">
        <v>320922</v>
      </c>
      <c r="I33" s="210">
        <v>0</v>
      </c>
      <c r="J33" s="94">
        <v>89510.32587535918</v>
      </c>
      <c r="K33" s="137"/>
      <c r="L33" s="56" t="s">
        <v>121</v>
      </c>
      <c r="M33" s="224">
        <f t="shared" si="4"/>
        <v>6.662539225462722</v>
      </c>
    </row>
    <row r="34" spans="1:13" x14ac:dyDescent="0.2">
      <c r="A34" s="165" t="s">
        <v>143</v>
      </c>
      <c r="B34" s="133"/>
      <c r="C34" s="80"/>
      <c r="D34" s="209"/>
      <c r="E34" s="80">
        <v>744000</v>
      </c>
      <c r="F34" s="80">
        <v>0</v>
      </c>
      <c r="G34" s="95">
        <v>744000</v>
      </c>
      <c r="H34" s="80"/>
      <c r="I34" s="210">
        <v>744000</v>
      </c>
      <c r="J34" s="94">
        <v>0</v>
      </c>
      <c r="K34" s="137"/>
      <c r="L34" s="133"/>
      <c r="M34" s="223"/>
    </row>
    <row r="35" spans="1:13" x14ac:dyDescent="0.2">
      <c r="A35" s="141" t="s">
        <v>141</v>
      </c>
      <c r="B35" s="142"/>
      <c r="C35" s="143"/>
      <c r="D35" s="143">
        <f>SUM(D11,D25,D32:D34)</f>
        <v>3461780.2193408795</v>
      </c>
      <c r="E35" s="143">
        <f>SUM(E11,E25,E32:E34)</f>
        <v>17296386</v>
      </c>
      <c r="F35" s="143">
        <f t="shared" ref="F35:J35" si="7">SUM(F11,F25,F32:F34)</f>
        <v>17479535.531199999</v>
      </c>
      <c r="G35" s="143">
        <f t="shared" si="7"/>
        <v>16585706</v>
      </c>
      <c r="H35" s="143">
        <f t="shared" si="7"/>
        <v>16868905.531199999</v>
      </c>
      <c r="I35" s="143">
        <f t="shared" si="7"/>
        <v>-233150.53120000102</v>
      </c>
      <c r="J35" s="143">
        <f t="shared" si="7"/>
        <v>4172460.2193408795</v>
      </c>
      <c r="K35" s="3"/>
      <c r="L35" s="3"/>
      <c r="M35" s="143">
        <f>SUM(M11,M25,M32:M34)</f>
        <v>323.00000000000006</v>
      </c>
    </row>
    <row r="36" spans="1:13" x14ac:dyDescent="0.2">
      <c r="D36" s="163">
        <f>D11+D25+D32+D33+D34</f>
        <v>3461780.2193408795</v>
      </c>
      <c r="J36" s="161">
        <v>4206428</v>
      </c>
      <c r="M36" s="222">
        <v>323</v>
      </c>
    </row>
    <row r="37" spans="1:13" x14ac:dyDescent="0.2">
      <c r="J37" s="212"/>
    </row>
    <row r="38" spans="1:13" ht="25.5" x14ac:dyDescent="0.2">
      <c r="A38" s="105" t="s">
        <v>123</v>
      </c>
      <c r="B38" s="140">
        <v>343600</v>
      </c>
      <c r="C38" s="1" t="s">
        <v>4</v>
      </c>
      <c r="H38" s="227"/>
    </row>
    <row r="39" spans="1:13" ht="33" customHeight="1" x14ac:dyDescent="0.2">
      <c r="A39" s="105" t="s">
        <v>124</v>
      </c>
      <c r="B39" s="140">
        <v>60400.468800000846</v>
      </c>
      <c r="C39" s="1" t="s">
        <v>4</v>
      </c>
      <c r="D39" s="106"/>
    </row>
    <row r="40" spans="1:13" ht="13.5" customHeight="1" thickBot="1" x14ac:dyDescent="0.25"/>
    <row r="41" spans="1:13" ht="32.25" customHeight="1" x14ac:dyDescent="0.2">
      <c r="A41" s="241" t="s">
        <v>197</v>
      </c>
      <c r="B41" s="242"/>
      <c r="C41" s="243"/>
      <c r="H41" s="117"/>
    </row>
    <row r="42" spans="1:13" ht="15.75" customHeight="1" x14ac:dyDescent="0.2">
      <c r="A42" s="225" t="s">
        <v>198</v>
      </c>
      <c r="B42" s="244" t="s">
        <v>199</v>
      </c>
      <c r="C42" s="245"/>
      <c r="H42" s="117"/>
    </row>
    <row r="43" spans="1:13" ht="33.75" customHeight="1" thickBot="1" x14ac:dyDescent="0.25">
      <c r="A43" s="226" t="s">
        <v>202</v>
      </c>
      <c r="B43" s="246" t="s">
        <v>201</v>
      </c>
      <c r="C43" s="247"/>
      <c r="H43" s="117"/>
    </row>
  </sheetData>
  <mergeCells count="42">
    <mergeCell ref="I25:I26"/>
    <mergeCell ref="J25:J26"/>
    <mergeCell ref="K25:K26"/>
    <mergeCell ref="D25:D26"/>
    <mergeCell ref="E25:E26"/>
    <mergeCell ref="F25:F26"/>
    <mergeCell ref="G25:G26"/>
    <mergeCell ref="H25:H26"/>
    <mergeCell ref="L29:L30"/>
    <mergeCell ref="I29:I30"/>
    <mergeCell ref="I27:I28"/>
    <mergeCell ref="F29:F30"/>
    <mergeCell ref="F27:F28"/>
    <mergeCell ref="H27:H28"/>
    <mergeCell ref="A1:G1"/>
    <mergeCell ref="A3:I3"/>
    <mergeCell ref="A4:I4"/>
    <mergeCell ref="A5:I5"/>
    <mergeCell ref="A9:A10"/>
    <mergeCell ref="B9:B10"/>
    <mergeCell ref="E9:F9"/>
    <mergeCell ref="I9:I10"/>
    <mergeCell ref="C9:C10"/>
    <mergeCell ref="D9:D10"/>
    <mergeCell ref="G9:H9"/>
    <mergeCell ref="A7:L7"/>
    <mergeCell ref="M9:M10"/>
    <mergeCell ref="A41:C41"/>
    <mergeCell ref="B42:C42"/>
    <mergeCell ref="B43:C43"/>
    <mergeCell ref="B11:B12"/>
    <mergeCell ref="C11:C12"/>
    <mergeCell ref="D11:D12"/>
    <mergeCell ref="E11:E12"/>
    <mergeCell ref="F11:F12"/>
    <mergeCell ref="L9:L10"/>
    <mergeCell ref="H29:H30"/>
    <mergeCell ref="K27:K28"/>
    <mergeCell ref="K29:K30"/>
    <mergeCell ref="J9:J10"/>
    <mergeCell ref="K9:K10"/>
    <mergeCell ref="L27:L28"/>
  </mergeCells>
  <phoneticPr fontId="21" type="noConversion"/>
  <hyperlinks>
    <hyperlink ref="A1:G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8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1"/>
  <sheetViews>
    <sheetView tabSelected="1" topLeftCell="A25" workbookViewId="0">
      <selection activeCell="G37" sqref="G37"/>
    </sheetView>
  </sheetViews>
  <sheetFormatPr defaultColWidth="32.7109375" defaultRowHeight="18" customHeight="1" x14ac:dyDescent="0.2"/>
  <cols>
    <col min="1" max="1" width="44.85546875" style="5" customWidth="1"/>
    <col min="2" max="2" width="17.28515625" style="1" customWidth="1"/>
    <col min="3" max="3" width="15.85546875" style="1" customWidth="1"/>
    <col min="4" max="4" width="20.7109375" style="1" customWidth="1"/>
    <col min="5" max="5" width="15.42578125" style="1" customWidth="1"/>
    <col min="6" max="6" width="14.7109375" style="1" customWidth="1"/>
    <col min="7" max="7" width="16.42578125" style="1" customWidth="1"/>
    <col min="8" max="8" width="16.85546875" style="1" customWidth="1"/>
    <col min="9" max="9" width="16.28515625" style="1" customWidth="1"/>
    <col min="10" max="10" width="19.28515625" style="1" customWidth="1"/>
    <col min="11" max="11" width="19.28515625" style="2" customWidth="1"/>
    <col min="12" max="12" width="46.140625" style="1" customWidth="1"/>
    <col min="13" max="13" width="19" style="1" customWidth="1"/>
    <col min="14" max="16384" width="32.7109375" style="1"/>
  </cols>
  <sheetData>
    <row r="1" spans="1:13" ht="12.75" x14ac:dyDescent="0.2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118"/>
    </row>
    <row r="2" spans="1:13" ht="13.5" customHeight="1" x14ac:dyDescent="0.2">
      <c r="A2" s="258" t="s">
        <v>142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3" ht="17.25" customHeight="1" x14ac:dyDescent="0.2">
      <c r="A3" s="258" t="s">
        <v>212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3" ht="16.5" customHeight="1" x14ac:dyDescent="0.2">
      <c r="A4" s="259" t="s">
        <v>182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3" ht="13.5" customHeight="1" x14ac:dyDescent="0.2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3" ht="12.75" customHeight="1" x14ac:dyDescent="0.2">
      <c r="A6" s="266" t="s">
        <v>203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3" ht="11.2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3" ht="18.75" customHeight="1" x14ac:dyDescent="0.2">
      <c r="A8" s="248" t="s">
        <v>16</v>
      </c>
      <c r="B8" s="248" t="s">
        <v>190</v>
      </c>
      <c r="C8" s="264" t="s">
        <v>128</v>
      </c>
      <c r="D8" s="264" t="s">
        <v>140</v>
      </c>
      <c r="E8" s="248" t="s">
        <v>17</v>
      </c>
      <c r="F8" s="248"/>
      <c r="G8" s="249" t="s">
        <v>18</v>
      </c>
      <c r="H8" s="249"/>
      <c r="I8" s="249" t="s">
        <v>55</v>
      </c>
      <c r="J8" s="250" t="s">
        <v>209</v>
      </c>
      <c r="K8" s="250" t="s">
        <v>144</v>
      </c>
      <c r="L8" s="249" t="s">
        <v>62</v>
      </c>
      <c r="M8" s="248" t="s">
        <v>210</v>
      </c>
    </row>
    <row r="9" spans="1:13" ht="60" x14ac:dyDescent="0.2">
      <c r="A9" s="248"/>
      <c r="B9" s="248"/>
      <c r="C9" s="265"/>
      <c r="D9" s="265"/>
      <c r="E9" s="119" t="s">
        <v>19</v>
      </c>
      <c r="F9" s="119" t="s">
        <v>20</v>
      </c>
      <c r="G9" s="120" t="s">
        <v>21</v>
      </c>
      <c r="H9" s="33" t="s">
        <v>22</v>
      </c>
      <c r="I9" s="249"/>
      <c r="J9" s="251"/>
      <c r="K9" s="251"/>
      <c r="L9" s="249"/>
      <c r="M9" s="248"/>
    </row>
    <row r="10" spans="1:13" ht="12.75" x14ac:dyDescent="0.2">
      <c r="A10" s="34" t="s">
        <v>23</v>
      </c>
      <c r="B10" s="248"/>
      <c r="C10" s="297">
        <f t="shared" ref="C10:D10" si="0">SUM(C12:C33)</f>
        <v>0</v>
      </c>
      <c r="D10" s="297">
        <f t="shared" si="0"/>
        <v>3233609.5487648323</v>
      </c>
      <c r="E10" s="297">
        <f t="shared" ref="E10:J10" si="1">SUM(E12:E33)</f>
        <v>14371348.200000001</v>
      </c>
      <c r="F10" s="297">
        <f t="shared" si="1"/>
        <v>15752189</v>
      </c>
      <c r="G10" s="297">
        <f t="shared" si="1"/>
        <v>12298131.739999998</v>
      </c>
      <c r="H10" s="297">
        <f t="shared" si="1"/>
        <v>11845726.15</v>
      </c>
      <c r="I10" s="297">
        <f t="shared" si="1"/>
        <v>-1019984.7999999996</v>
      </c>
      <c r="J10" s="297">
        <f t="shared" si="1"/>
        <v>5306826.0087648323</v>
      </c>
      <c r="K10" s="298"/>
      <c r="L10" s="263"/>
      <c r="M10" s="297">
        <f>SUM(M12:M33)</f>
        <v>6826715.3237447627</v>
      </c>
    </row>
    <row r="11" spans="1:13" ht="12.75" x14ac:dyDescent="0.2">
      <c r="A11" s="35" t="s">
        <v>24</v>
      </c>
      <c r="B11" s="248"/>
      <c r="C11" s="297"/>
      <c r="D11" s="297"/>
      <c r="E11" s="297"/>
      <c r="F11" s="297"/>
      <c r="G11" s="297"/>
      <c r="H11" s="297"/>
      <c r="I11" s="297"/>
      <c r="J11" s="297"/>
      <c r="K11" s="299"/>
      <c r="L11" s="263"/>
      <c r="M11" s="297"/>
    </row>
    <row r="12" spans="1:13" ht="76.5" x14ac:dyDescent="0.2">
      <c r="A12" s="300" t="s">
        <v>25</v>
      </c>
      <c r="B12" s="303">
        <f>3.18+5.02</f>
        <v>8.1999999999999993</v>
      </c>
      <c r="C12" s="189"/>
      <c r="D12" s="295">
        <v>848167.00681840023</v>
      </c>
      <c r="E12" s="307">
        <f>4290359.78-1000000</f>
        <v>3290359.7800000003</v>
      </c>
      <c r="F12" s="307">
        <f>4538271-216000</f>
        <v>4322271</v>
      </c>
      <c r="G12" s="307">
        <f>3418580.09-1000</f>
        <v>3417580.09</v>
      </c>
      <c r="H12" s="295">
        <f>3538271-1000000</f>
        <v>2538271</v>
      </c>
      <c r="I12" s="295">
        <f>E12-F12</f>
        <v>-1031911.2199999997</v>
      </c>
      <c r="J12" s="295">
        <f>D12+E12-G12</f>
        <v>720946.69681840064</v>
      </c>
      <c r="K12" s="295"/>
      <c r="L12" s="36" t="s">
        <v>183</v>
      </c>
      <c r="M12" s="237">
        <f>J12*M45/J44</f>
        <v>900168.51306510216</v>
      </c>
    </row>
    <row r="13" spans="1:13" ht="12.75" x14ac:dyDescent="0.2">
      <c r="A13" s="301"/>
      <c r="B13" s="304"/>
      <c r="C13" s="190"/>
      <c r="D13" s="306"/>
      <c r="E13" s="309"/>
      <c r="F13" s="309"/>
      <c r="G13" s="309"/>
      <c r="H13" s="306"/>
      <c r="I13" s="306"/>
      <c r="J13" s="306"/>
      <c r="K13" s="306"/>
      <c r="L13" s="37" t="s">
        <v>66</v>
      </c>
      <c r="M13" s="237"/>
    </row>
    <row r="14" spans="1:13" ht="25.5" x14ac:dyDescent="0.2">
      <c r="A14" s="302"/>
      <c r="B14" s="305"/>
      <c r="C14" s="191"/>
      <c r="D14" s="296"/>
      <c r="E14" s="308"/>
      <c r="F14" s="308"/>
      <c r="G14" s="308"/>
      <c r="H14" s="296"/>
      <c r="I14" s="296"/>
      <c r="J14" s="296"/>
      <c r="K14" s="296"/>
      <c r="L14" s="36" t="s">
        <v>68</v>
      </c>
      <c r="M14" s="237"/>
    </row>
    <row r="15" spans="1:13" ht="25.5" x14ac:dyDescent="0.2">
      <c r="A15" s="121" t="s">
        <v>26</v>
      </c>
      <c r="B15" s="41">
        <v>5.08</v>
      </c>
      <c r="C15" s="192"/>
      <c r="D15" s="189">
        <v>538510.43358893343</v>
      </c>
      <c r="E15" s="193">
        <v>2465486.04</v>
      </c>
      <c r="F15" s="193">
        <v>1558982</v>
      </c>
      <c r="G15" s="194">
        <v>2015616.76</v>
      </c>
      <c r="H15" s="189">
        <v>1558982</v>
      </c>
      <c r="I15" s="192">
        <v>906504.04</v>
      </c>
      <c r="J15" s="189">
        <f>D15+E15-G15</f>
        <v>988379.71358893323</v>
      </c>
      <c r="K15" s="192"/>
      <c r="L15" s="36" t="s">
        <v>13</v>
      </c>
      <c r="M15" s="237">
        <f>J15*M45/J44</f>
        <v>1234083.3255099445</v>
      </c>
    </row>
    <row r="16" spans="1:13" ht="12.75" x14ac:dyDescent="0.2">
      <c r="A16" s="166" t="s">
        <v>56</v>
      </c>
      <c r="B16" s="41">
        <v>1.25</v>
      </c>
      <c r="C16" s="192"/>
      <c r="D16" s="189">
        <v>142124.48715282168</v>
      </c>
      <c r="E16" s="193">
        <v>606683.25</v>
      </c>
      <c r="F16" s="193">
        <v>572084</v>
      </c>
      <c r="G16" s="194">
        <v>505596.7</v>
      </c>
      <c r="H16" s="189">
        <v>572084</v>
      </c>
      <c r="I16" s="192">
        <v>34599.25</v>
      </c>
      <c r="J16" s="231">
        <f>D16+E16-G16</f>
        <v>243211.03715282161</v>
      </c>
      <c r="K16" s="192"/>
      <c r="L16" s="36" t="s">
        <v>70</v>
      </c>
      <c r="M16" s="237">
        <f>J16*M45/J44</f>
        <v>303671.43457489659</v>
      </c>
    </row>
    <row r="17" spans="1:13" ht="38.25" x14ac:dyDescent="0.2">
      <c r="A17" s="166" t="s">
        <v>2</v>
      </c>
      <c r="B17" s="41">
        <v>1.68</v>
      </c>
      <c r="C17" s="192"/>
      <c r="D17" s="189">
        <v>175720.15355559054</v>
      </c>
      <c r="E17" s="193">
        <v>975393.47</v>
      </c>
      <c r="F17" s="193">
        <v>1105000</v>
      </c>
      <c r="G17" s="194">
        <v>760091.69000000006</v>
      </c>
      <c r="H17" s="189">
        <v>760091.69000000006</v>
      </c>
      <c r="I17" s="192">
        <v>-129606.53000000003</v>
      </c>
      <c r="J17" s="231">
        <f>D17+E17-G17</f>
        <v>391021.93355559034</v>
      </c>
      <c r="K17" s="192"/>
      <c r="L17" s="36" t="s">
        <v>184</v>
      </c>
      <c r="M17" s="237">
        <f>J17*M45/J44</f>
        <v>488226.98551490647</v>
      </c>
    </row>
    <row r="18" spans="1:13" ht="51" x14ac:dyDescent="0.2">
      <c r="A18" s="68" t="s">
        <v>28</v>
      </c>
      <c r="B18" s="41">
        <v>1.29</v>
      </c>
      <c r="C18" s="192"/>
      <c r="D18" s="189">
        <v>146225.11570873787</v>
      </c>
      <c r="E18" s="193">
        <v>626082.41</v>
      </c>
      <c r="F18" s="193">
        <v>624744</v>
      </c>
      <c r="G18" s="194">
        <v>521319.63</v>
      </c>
      <c r="H18" s="189">
        <v>521319.63</v>
      </c>
      <c r="I18" s="192">
        <v>1338.4100000000326</v>
      </c>
      <c r="J18" s="231">
        <f>D18+E18-G18</f>
        <v>250987.89570873789</v>
      </c>
      <c r="K18" s="192"/>
      <c r="L18" s="36" t="s">
        <v>185</v>
      </c>
      <c r="M18" s="237">
        <f>J18*M45/J44</f>
        <v>313381.56048779766</v>
      </c>
    </row>
    <row r="19" spans="1:13" ht="25.5" x14ac:dyDescent="0.2">
      <c r="A19" s="167" t="s">
        <v>57</v>
      </c>
      <c r="B19" s="303">
        <v>0.53</v>
      </c>
      <c r="C19" s="189"/>
      <c r="D19" s="295">
        <v>73142.309136845623</v>
      </c>
      <c r="E19" s="307">
        <v>210106.55</v>
      </c>
      <c r="F19" s="307">
        <v>320836</v>
      </c>
      <c r="G19" s="307">
        <v>199020.01</v>
      </c>
      <c r="H19" s="295">
        <v>199020.01</v>
      </c>
      <c r="I19" s="295">
        <v>-110729.45000000001</v>
      </c>
      <c r="J19" s="295">
        <f>D19+E19-G19</f>
        <v>84228.849136845616</v>
      </c>
      <c r="K19" s="295"/>
      <c r="L19" s="42" t="s">
        <v>74</v>
      </c>
      <c r="M19" s="237">
        <f>J19*M45/J44</f>
        <v>105167.49465570752</v>
      </c>
    </row>
    <row r="20" spans="1:13" ht="38.25" x14ac:dyDescent="0.2">
      <c r="A20" s="168"/>
      <c r="B20" s="305"/>
      <c r="C20" s="191"/>
      <c r="D20" s="296"/>
      <c r="E20" s="308"/>
      <c r="F20" s="308"/>
      <c r="G20" s="308"/>
      <c r="H20" s="296"/>
      <c r="I20" s="296"/>
      <c r="J20" s="296"/>
      <c r="K20" s="296"/>
      <c r="L20" s="36" t="s">
        <v>186</v>
      </c>
      <c r="M20" s="237"/>
    </row>
    <row r="21" spans="1:13" ht="12.75" x14ac:dyDescent="0.2">
      <c r="A21" s="313" t="s">
        <v>58</v>
      </c>
      <c r="B21" s="303">
        <v>0.41</v>
      </c>
      <c r="C21" s="189"/>
      <c r="D21" s="295">
        <v>38226.709708236129</v>
      </c>
      <c r="E21" s="307">
        <v>400870.34</v>
      </c>
      <c r="F21" s="307">
        <v>398000</v>
      </c>
      <c r="G21" s="307">
        <v>278393.59999999998</v>
      </c>
      <c r="H21" s="295">
        <v>398000</v>
      </c>
      <c r="I21" s="295">
        <v>2870.3400000000256</v>
      </c>
      <c r="J21" s="295">
        <f>D21+E21-G21</f>
        <v>160703.44970823615</v>
      </c>
      <c r="K21" s="295"/>
      <c r="L21" s="42" t="s">
        <v>77</v>
      </c>
      <c r="M21" s="237">
        <f>J21*M45/J44</f>
        <v>200653.09405909356</v>
      </c>
    </row>
    <row r="22" spans="1:13" ht="38.25" x14ac:dyDescent="0.2">
      <c r="A22" s="314"/>
      <c r="B22" s="305"/>
      <c r="C22" s="191"/>
      <c r="D22" s="296"/>
      <c r="E22" s="308"/>
      <c r="F22" s="308"/>
      <c r="G22" s="308"/>
      <c r="H22" s="296"/>
      <c r="I22" s="296"/>
      <c r="J22" s="296"/>
      <c r="K22" s="296"/>
      <c r="L22" s="36" t="s">
        <v>187</v>
      </c>
      <c r="M22" s="237">
        <f>J21*M45/J44</f>
        <v>200653.09405909356</v>
      </c>
    </row>
    <row r="23" spans="1:13" ht="12.75" x14ac:dyDescent="0.2">
      <c r="A23" s="310" t="s">
        <v>59</v>
      </c>
      <c r="B23" s="303">
        <v>2.1</v>
      </c>
      <c r="C23" s="189"/>
      <c r="D23" s="295">
        <v>256324.43789432006</v>
      </c>
      <c r="E23" s="307">
        <v>832399.34</v>
      </c>
      <c r="F23" s="307">
        <v>883974</v>
      </c>
      <c r="G23" s="307">
        <v>755026.24</v>
      </c>
      <c r="H23" s="295">
        <v>883974</v>
      </c>
      <c r="I23" s="295">
        <v>-51574.660000000033</v>
      </c>
      <c r="J23" s="295">
        <f>D23+E23-G23</f>
        <v>333697.53789431998</v>
      </c>
      <c r="K23" s="295"/>
      <c r="L23" s="42" t="s">
        <v>80</v>
      </c>
      <c r="M23" s="237">
        <f>J23*M45/J44</f>
        <v>416652.18500263046</v>
      </c>
    </row>
    <row r="24" spans="1:13" ht="12.75" x14ac:dyDescent="0.2">
      <c r="A24" s="311"/>
      <c r="B24" s="304"/>
      <c r="C24" s="190"/>
      <c r="D24" s="306"/>
      <c r="E24" s="309"/>
      <c r="F24" s="309"/>
      <c r="G24" s="309"/>
      <c r="H24" s="306"/>
      <c r="I24" s="306"/>
      <c r="J24" s="306"/>
      <c r="K24" s="306"/>
      <c r="L24" s="42" t="s">
        <v>82</v>
      </c>
      <c r="M24" s="237"/>
    </row>
    <row r="25" spans="1:13" ht="38.25" x14ac:dyDescent="0.2">
      <c r="A25" s="312"/>
      <c r="B25" s="305"/>
      <c r="C25" s="191"/>
      <c r="D25" s="296"/>
      <c r="E25" s="308"/>
      <c r="F25" s="308"/>
      <c r="G25" s="308"/>
      <c r="H25" s="296"/>
      <c r="I25" s="296"/>
      <c r="J25" s="296"/>
      <c r="K25" s="296"/>
      <c r="L25" s="36" t="s">
        <v>186</v>
      </c>
      <c r="M25" s="237"/>
    </row>
    <row r="26" spans="1:13" ht="12.75" x14ac:dyDescent="0.2">
      <c r="A26" s="310" t="s">
        <v>33</v>
      </c>
      <c r="B26" s="303">
        <v>5.77</v>
      </c>
      <c r="C26" s="189"/>
      <c r="D26" s="295">
        <v>692356.883038064</v>
      </c>
      <c r="E26" s="307">
        <f>4102582.14-360856</f>
        <v>3741726.14</v>
      </c>
      <c r="F26" s="307">
        <v>4095000</v>
      </c>
      <c r="G26" s="307">
        <f>3150269.82-359856</f>
        <v>2790413.82</v>
      </c>
      <c r="H26" s="295">
        <v>3150269.82</v>
      </c>
      <c r="I26" s="315">
        <v>7582.1400000001304</v>
      </c>
      <c r="J26" s="295">
        <f>D26+E26-G26</f>
        <v>1643669.2030380643</v>
      </c>
      <c r="K26" s="295"/>
      <c r="L26" s="318" t="s">
        <v>188</v>
      </c>
      <c r="M26" s="237">
        <f>J26*M45/J44</f>
        <v>2052272.7533105924</v>
      </c>
    </row>
    <row r="27" spans="1:13" ht="12.75" x14ac:dyDescent="0.2">
      <c r="A27" s="311"/>
      <c r="B27" s="304"/>
      <c r="C27" s="190"/>
      <c r="D27" s="306"/>
      <c r="E27" s="309"/>
      <c r="F27" s="309"/>
      <c r="G27" s="309"/>
      <c r="H27" s="306"/>
      <c r="I27" s="316"/>
      <c r="J27" s="306"/>
      <c r="K27" s="306"/>
      <c r="L27" s="319"/>
      <c r="M27" s="237"/>
    </row>
    <row r="28" spans="1:13" ht="12.75" x14ac:dyDescent="0.2">
      <c r="A28" s="312"/>
      <c r="B28" s="305"/>
      <c r="C28" s="191"/>
      <c r="D28" s="296"/>
      <c r="E28" s="308"/>
      <c r="F28" s="308"/>
      <c r="G28" s="308"/>
      <c r="H28" s="296"/>
      <c r="I28" s="317"/>
      <c r="J28" s="296"/>
      <c r="K28" s="296"/>
      <c r="L28" s="320"/>
      <c r="M28" s="237"/>
    </row>
    <row r="29" spans="1:13" ht="12.75" x14ac:dyDescent="0.2">
      <c r="A29" s="310" t="s">
        <v>60</v>
      </c>
      <c r="B29" s="303">
        <v>125</v>
      </c>
      <c r="C29" s="189"/>
      <c r="D29" s="295">
        <v>147584.0787248828</v>
      </c>
      <c r="E29" s="307">
        <v>460265.25</v>
      </c>
      <c r="F29" s="307">
        <v>460265</v>
      </c>
      <c r="G29" s="307">
        <v>423335.27</v>
      </c>
      <c r="H29" s="295">
        <v>460265</v>
      </c>
      <c r="I29" s="295">
        <v>0.25</v>
      </c>
      <c r="J29" s="295">
        <f>D29+E29-G29</f>
        <v>184514.05872488278</v>
      </c>
      <c r="K29" s="295"/>
      <c r="L29" s="42" t="s">
        <v>86</v>
      </c>
      <c r="M29" s="237">
        <f>J29*M45/J44</f>
        <v>230382.83775342975</v>
      </c>
    </row>
    <row r="30" spans="1:13" ht="38.25" x14ac:dyDescent="0.2">
      <c r="A30" s="312"/>
      <c r="B30" s="305"/>
      <c r="C30" s="191"/>
      <c r="D30" s="296"/>
      <c r="E30" s="308"/>
      <c r="F30" s="308"/>
      <c r="G30" s="308"/>
      <c r="H30" s="296"/>
      <c r="I30" s="296"/>
      <c r="J30" s="296"/>
      <c r="K30" s="296"/>
      <c r="L30" s="36" t="s">
        <v>186</v>
      </c>
      <c r="M30" s="237"/>
    </row>
    <row r="31" spans="1:13" ht="12.75" x14ac:dyDescent="0.2">
      <c r="A31" s="313" t="s">
        <v>35</v>
      </c>
      <c r="B31" s="303">
        <v>1.57</v>
      </c>
      <c r="C31" s="189"/>
      <c r="D31" s="295">
        <v>175227.93343800033</v>
      </c>
      <c r="E31" s="307">
        <v>761975.63</v>
      </c>
      <c r="F31" s="307">
        <v>1411033</v>
      </c>
      <c r="G31" s="307">
        <v>631737.93000000005</v>
      </c>
      <c r="H31" s="295">
        <f>1164305-360856</f>
        <v>803449</v>
      </c>
      <c r="I31" s="295">
        <v>-649057.37</v>
      </c>
      <c r="J31" s="295">
        <f>D31+E31-G31</f>
        <v>305465.63343800034</v>
      </c>
      <c r="K31" s="295"/>
      <c r="L31" s="42" t="s">
        <v>88</v>
      </c>
      <c r="M31" s="237">
        <f>J31*M45/J44</f>
        <v>381402.04575156921</v>
      </c>
    </row>
    <row r="32" spans="1:13" ht="38.25" x14ac:dyDescent="0.2">
      <c r="A32" s="314"/>
      <c r="B32" s="305"/>
      <c r="C32" s="191"/>
      <c r="D32" s="296"/>
      <c r="E32" s="308"/>
      <c r="F32" s="308"/>
      <c r="G32" s="308"/>
      <c r="H32" s="296"/>
      <c r="I32" s="296"/>
      <c r="J32" s="296"/>
      <c r="K32" s="296"/>
      <c r="L32" s="36" t="s">
        <v>186</v>
      </c>
      <c r="M32" s="237"/>
    </row>
    <row r="33" spans="1:13" ht="12.75" x14ac:dyDescent="0.2">
      <c r="A33" s="75"/>
      <c r="B33" s="41"/>
      <c r="C33" s="192"/>
      <c r="D33" s="192"/>
      <c r="E33" s="193"/>
      <c r="F33" s="192"/>
      <c r="G33" s="193"/>
      <c r="H33" s="192"/>
      <c r="I33" s="192"/>
      <c r="J33" s="190"/>
      <c r="K33" s="190"/>
      <c r="L33" s="43"/>
      <c r="M33" s="237"/>
    </row>
    <row r="34" spans="1:13" ht="12.75" x14ac:dyDescent="0.2">
      <c r="A34" s="78" t="s">
        <v>40</v>
      </c>
      <c r="B34" s="79"/>
      <c r="C34" s="195"/>
      <c r="D34" s="195">
        <v>2904371.5104122292</v>
      </c>
      <c r="E34" s="195">
        <f>SUM(E36:E40)</f>
        <v>13944551.27</v>
      </c>
      <c r="F34" s="195">
        <v>13944551.27</v>
      </c>
      <c r="G34" s="195">
        <f>SUM(G36:G40)</f>
        <v>11258742.439999999</v>
      </c>
      <c r="H34" s="195">
        <f>SUM(H36:H40)</f>
        <v>11258742.439999999</v>
      </c>
      <c r="I34" s="195">
        <f>SUM(I36:I40)</f>
        <v>0</v>
      </c>
      <c r="J34" s="195">
        <f>SUM(J36:J40)</f>
        <v>5590180.3404122302</v>
      </c>
      <c r="K34" s="195">
        <v>14148444.788278559</v>
      </c>
      <c r="L34" s="249"/>
      <c r="M34" s="197">
        <f>SUM(M36:M40)</f>
        <v>6793642.2737047691</v>
      </c>
    </row>
    <row r="35" spans="1:13" ht="12.75" x14ac:dyDescent="0.2">
      <c r="A35" s="81" t="s">
        <v>24</v>
      </c>
      <c r="B35" s="82"/>
      <c r="C35" s="196"/>
      <c r="D35" s="196"/>
      <c r="E35" s="196"/>
      <c r="F35" s="196"/>
      <c r="G35" s="196"/>
      <c r="H35" s="196"/>
      <c r="I35" s="196"/>
      <c r="J35" s="196"/>
      <c r="K35" s="196"/>
      <c r="L35" s="249"/>
      <c r="M35" s="237"/>
    </row>
    <row r="36" spans="1:13" ht="12.75" x14ac:dyDescent="0.2">
      <c r="A36" s="84" t="s">
        <v>41</v>
      </c>
      <c r="B36" s="56" t="s">
        <v>42</v>
      </c>
      <c r="C36" s="192">
        <v>29754.84</v>
      </c>
      <c r="D36" s="189">
        <v>516895.34386070492</v>
      </c>
      <c r="E36" s="192">
        <v>2178468.39</v>
      </c>
      <c r="F36" s="192">
        <v>2178468.39</v>
      </c>
      <c r="G36" s="194">
        <v>1822045.48</v>
      </c>
      <c r="H36" s="189">
        <v>1822045.48</v>
      </c>
      <c r="I36" s="189">
        <f>E36-F36</f>
        <v>0</v>
      </c>
      <c r="J36" s="231">
        <f t="shared" ref="J36:J41" si="2">D36+E36-G36</f>
        <v>873318.25386070507</v>
      </c>
      <c r="K36" s="192">
        <v>2427518.2512457115</v>
      </c>
      <c r="L36" s="263" t="s">
        <v>90</v>
      </c>
      <c r="M36" s="237">
        <f>J36*$M$45/$J$44</f>
        <v>1090418.4698808901</v>
      </c>
    </row>
    <row r="37" spans="1:13" ht="12.75" x14ac:dyDescent="0.2">
      <c r="A37" s="84" t="s">
        <v>43</v>
      </c>
      <c r="B37" s="41" t="s">
        <v>44</v>
      </c>
      <c r="C37" s="192">
        <v>5411.26</v>
      </c>
      <c r="D37" s="189">
        <v>1581590.8968788618</v>
      </c>
      <c r="E37" s="192">
        <v>8032652.0499999998</v>
      </c>
      <c r="F37" s="192">
        <v>8032652.0499999998</v>
      </c>
      <c r="G37" s="194">
        <f>6394062.34</f>
        <v>6394062.3399999999</v>
      </c>
      <c r="H37" s="189">
        <v>6394062.3399999999</v>
      </c>
      <c r="I37" s="240">
        <f t="shared" ref="I37:I40" si="3">E37-F37</f>
        <v>0</v>
      </c>
      <c r="J37" s="231">
        <f t="shared" si="2"/>
        <v>3220180.6068788618</v>
      </c>
      <c r="K37" s="192">
        <v>8950971.9520333633</v>
      </c>
      <c r="L37" s="263"/>
      <c r="M37" s="237">
        <f>J37*$M$45/$J$44-186214</f>
        <v>3834478.793915912</v>
      </c>
    </row>
    <row r="38" spans="1:13" ht="12.75" x14ac:dyDescent="0.2">
      <c r="A38" s="84" t="s">
        <v>45</v>
      </c>
      <c r="B38" s="56" t="s">
        <v>46</v>
      </c>
      <c r="C38" s="192">
        <v>44379.971944840705</v>
      </c>
      <c r="D38" s="189">
        <v>264989.45935029944</v>
      </c>
      <c r="E38" s="192">
        <v>933310.81</v>
      </c>
      <c r="F38" s="192">
        <v>933310.81</v>
      </c>
      <c r="G38" s="194">
        <v>824148.7</v>
      </c>
      <c r="H38" s="189">
        <v>824148.7</v>
      </c>
      <c r="I38" s="240">
        <f t="shared" si="3"/>
        <v>0</v>
      </c>
      <c r="J38" s="231">
        <f t="shared" si="2"/>
        <v>374151.56935029966</v>
      </c>
      <c r="K38" s="192">
        <v>1040010.0528242773</v>
      </c>
      <c r="L38" s="263" t="s">
        <v>92</v>
      </c>
      <c r="M38" s="237">
        <f t="shared" ref="M38:M43" si="4">J38*$M$45/$J$44</f>
        <v>467162.77823223063</v>
      </c>
    </row>
    <row r="39" spans="1:13" ht="12.75" x14ac:dyDescent="0.2">
      <c r="A39" s="86" t="s">
        <v>47</v>
      </c>
      <c r="B39" s="87" t="s">
        <v>46</v>
      </c>
      <c r="C39" s="193">
        <v>74134.811944840709</v>
      </c>
      <c r="D39" s="189">
        <v>347762.47443750687</v>
      </c>
      <c r="E39" s="192">
        <v>1423785.56</v>
      </c>
      <c r="F39" s="192">
        <v>1423785.56</v>
      </c>
      <c r="G39" s="194">
        <v>1200771.83</v>
      </c>
      <c r="H39" s="189">
        <v>1200771.83</v>
      </c>
      <c r="I39" s="240">
        <f t="shared" si="3"/>
        <v>0</v>
      </c>
      <c r="J39" s="231">
        <f t="shared" si="2"/>
        <v>570776.20443750685</v>
      </c>
      <c r="K39" s="192">
        <v>1586557.5321752068</v>
      </c>
      <c r="L39" s="263"/>
      <c r="M39" s="237">
        <f t="shared" si="4"/>
        <v>712666.78869446728</v>
      </c>
    </row>
    <row r="40" spans="1:13" ht="25.5" x14ac:dyDescent="0.2">
      <c r="A40" s="86" t="s">
        <v>48</v>
      </c>
      <c r="B40" s="87" t="s">
        <v>94</v>
      </c>
      <c r="C40" s="193">
        <v>688167.23</v>
      </c>
      <c r="D40" s="189">
        <v>193133.33588485629</v>
      </c>
      <c r="E40" s="193">
        <v>1376334.46</v>
      </c>
      <c r="F40" s="193">
        <v>1376334.46</v>
      </c>
      <c r="G40" s="194">
        <v>1017714.09</v>
      </c>
      <c r="H40" s="189">
        <v>1017714.09</v>
      </c>
      <c r="I40" s="240">
        <f t="shared" si="3"/>
        <v>0</v>
      </c>
      <c r="J40" s="231">
        <f t="shared" si="2"/>
        <v>551753.70588485629</v>
      </c>
      <c r="K40" s="193">
        <v>143387</v>
      </c>
      <c r="L40" s="50" t="s">
        <v>95</v>
      </c>
      <c r="M40" s="237">
        <f t="shared" si="4"/>
        <v>688915.44298126851</v>
      </c>
    </row>
    <row r="41" spans="1:13" ht="96" x14ac:dyDescent="0.2">
      <c r="A41" s="89" t="s">
        <v>49</v>
      </c>
      <c r="B41" s="90">
        <v>5.6</v>
      </c>
      <c r="C41" s="197"/>
      <c r="D41" s="195">
        <v>683913.68720002659</v>
      </c>
      <c r="E41" s="197">
        <f>3115450.4-1000000</f>
        <v>2115450.4</v>
      </c>
      <c r="F41" s="197">
        <v>3254714</v>
      </c>
      <c r="G41" s="198">
        <f>2414416.53-1000000</f>
        <v>1414416.5299999998</v>
      </c>
      <c r="H41" s="195">
        <f>2414416.53</f>
        <v>2414416.5299999998</v>
      </c>
      <c r="I41" s="197">
        <v>-139263.60000000009</v>
      </c>
      <c r="J41" s="195">
        <f t="shared" si="2"/>
        <v>1384947.5572000267</v>
      </c>
      <c r="K41" s="197"/>
      <c r="L41" s="54" t="s">
        <v>189</v>
      </c>
      <c r="M41" s="237">
        <f t="shared" si="4"/>
        <v>1729234.8917605509</v>
      </c>
    </row>
    <row r="42" spans="1:13" ht="25.5" x14ac:dyDescent="0.2">
      <c r="A42" s="92" t="s">
        <v>50</v>
      </c>
      <c r="B42" s="93">
        <v>2.3599999999999999E-2</v>
      </c>
      <c r="C42" s="192"/>
      <c r="D42" s="195">
        <v>157859.73046106112</v>
      </c>
      <c r="E42" s="197">
        <v>568305.1</v>
      </c>
      <c r="F42" s="197">
        <v>568305.1</v>
      </c>
      <c r="G42" s="198">
        <v>498339.07</v>
      </c>
      <c r="H42" s="195">
        <v>498339.07</v>
      </c>
      <c r="I42" s="197">
        <v>0</v>
      </c>
      <c r="J42" s="195">
        <v>227825.76046106109</v>
      </c>
      <c r="K42" s="192"/>
      <c r="L42" s="56" t="s">
        <v>98</v>
      </c>
      <c r="M42" s="237">
        <f t="shared" si="4"/>
        <v>284461.49616497592</v>
      </c>
    </row>
    <row r="43" spans="1:13" ht="12.75" x14ac:dyDescent="0.2">
      <c r="A43" s="92" t="s">
        <v>100</v>
      </c>
      <c r="B43" s="93"/>
      <c r="C43" s="192"/>
      <c r="D43" s="195">
        <f>-14393.6668381481+24014</f>
        <v>9620.3331618519005</v>
      </c>
      <c r="E43" s="197">
        <v>1244346</v>
      </c>
      <c r="F43" s="197">
        <v>950228</v>
      </c>
      <c r="G43" s="198">
        <v>867117</v>
      </c>
      <c r="H43" s="195">
        <v>867117</v>
      </c>
      <c r="I43" s="197">
        <v>294118</v>
      </c>
      <c r="J43" s="195">
        <f>D43+E43-G43</f>
        <v>386849.33316185186</v>
      </c>
      <c r="K43" s="192"/>
      <c r="L43" s="56"/>
      <c r="M43" s="237">
        <f t="shared" si="4"/>
        <v>483017.10868403653</v>
      </c>
    </row>
    <row r="44" spans="1:13" ht="12.75" x14ac:dyDescent="0.2">
      <c r="A44" s="57" t="s">
        <v>51</v>
      </c>
      <c r="B44" s="96"/>
      <c r="C44" s="192"/>
      <c r="D44" s="197">
        <f t="shared" ref="D44:K44" si="5">SUM(D10,D34,D41,D42,D43)</f>
        <v>6989374.8100000015</v>
      </c>
      <c r="E44" s="197">
        <f t="shared" si="5"/>
        <v>32244000.969999999</v>
      </c>
      <c r="F44" s="197">
        <f t="shared" si="5"/>
        <v>34469987.370000005</v>
      </c>
      <c r="G44" s="197">
        <f t="shared" si="5"/>
        <v>26336746.780000001</v>
      </c>
      <c r="H44" s="197">
        <f t="shared" si="5"/>
        <v>26884341.190000001</v>
      </c>
      <c r="I44" s="197">
        <f t="shared" si="5"/>
        <v>-865130.39999999967</v>
      </c>
      <c r="J44" s="197">
        <f t="shared" si="5"/>
        <v>12896629</v>
      </c>
      <c r="K44" s="197">
        <f t="shared" si="5"/>
        <v>14148444.788278559</v>
      </c>
      <c r="L44" s="124"/>
      <c r="M44" s="197">
        <f>SUM(M10,M34,M41,M42,M43)</f>
        <v>16117071.094059095</v>
      </c>
    </row>
    <row r="45" spans="1:13" ht="18" customHeight="1" x14ac:dyDescent="0.2">
      <c r="E45" s="238">
        <f>32244000-E44</f>
        <v>-0.9699999988079071</v>
      </c>
      <c r="F45" s="161"/>
      <c r="G45" s="161"/>
      <c r="H45" s="161"/>
      <c r="I45" s="161"/>
      <c r="J45" s="163">
        <f>13896629-J44</f>
        <v>1000000</v>
      </c>
      <c r="K45" s="239"/>
      <c r="L45" s="161"/>
      <c r="M45" s="162">
        <v>16102632</v>
      </c>
    </row>
    <row r="46" spans="1:13" ht="25.5" x14ac:dyDescent="0.2">
      <c r="A46" s="145" t="s">
        <v>178</v>
      </c>
      <c r="B46" s="140">
        <v>1177313</v>
      </c>
      <c r="C46" s="1" t="s">
        <v>4</v>
      </c>
      <c r="M46" s="204"/>
    </row>
    <row r="47" spans="1:13" ht="25.5" x14ac:dyDescent="0.2">
      <c r="A47" s="145" t="s">
        <v>179</v>
      </c>
      <c r="B47" s="140">
        <v>629718.58999999985</v>
      </c>
      <c r="C47" s="1" t="s">
        <v>4</v>
      </c>
      <c r="D47" s="106"/>
      <c r="E47" s="204"/>
      <c r="G47" s="204"/>
      <c r="J47" s="204"/>
    </row>
    <row r="48" spans="1:13" ht="18" customHeight="1" thickBot="1" x14ac:dyDescent="0.25">
      <c r="B48" s="106"/>
    </row>
    <row r="49" spans="1:3" ht="24" customHeight="1" x14ac:dyDescent="0.2">
      <c r="A49" s="241" t="s">
        <v>197</v>
      </c>
      <c r="B49" s="242"/>
      <c r="C49" s="243"/>
    </row>
    <row r="50" spans="1:3" ht="19.5" customHeight="1" x14ac:dyDescent="0.2">
      <c r="A50" s="225" t="s">
        <v>198</v>
      </c>
      <c r="B50" s="244" t="s">
        <v>199</v>
      </c>
      <c r="C50" s="245"/>
    </row>
    <row r="51" spans="1:3" ht="45" customHeight="1" thickBot="1" x14ac:dyDescent="0.25">
      <c r="A51" s="226" t="s">
        <v>213</v>
      </c>
      <c r="B51" s="246" t="s">
        <v>201</v>
      </c>
      <c r="C51" s="247"/>
    </row>
  </sheetData>
  <mergeCells count="104">
    <mergeCell ref="B51:C51"/>
    <mergeCell ref="A6:L6"/>
    <mergeCell ref="M8:M9"/>
    <mergeCell ref="M10:M11"/>
    <mergeCell ref="A49:C49"/>
    <mergeCell ref="B50:C50"/>
    <mergeCell ref="L34:L35"/>
    <mergeCell ref="L36:L37"/>
    <mergeCell ref="L38:L39"/>
    <mergeCell ref="C8:C9"/>
    <mergeCell ref="D8:D9"/>
    <mergeCell ref="J8:J9"/>
    <mergeCell ref="H29:H30"/>
    <mergeCell ref="I29:I30"/>
    <mergeCell ref="K29:K30"/>
    <mergeCell ref="H31:H32"/>
    <mergeCell ref="I31:I32"/>
    <mergeCell ref="K31:K32"/>
    <mergeCell ref="H26:H28"/>
    <mergeCell ref="I26:I28"/>
    <mergeCell ref="K26:K28"/>
    <mergeCell ref="L26:L28"/>
    <mergeCell ref="A31:A32"/>
    <mergeCell ref="B31:B32"/>
    <mergeCell ref="E31:E32"/>
    <mergeCell ref="F31:F32"/>
    <mergeCell ref="G31:G32"/>
    <mergeCell ref="D31:D32"/>
    <mergeCell ref="A29:A30"/>
    <mergeCell ref="B29:B30"/>
    <mergeCell ref="E29:E30"/>
    <mergeCell ref="F29:F30"/>
    <mergeCell ref="G29:G30"/>
    <mergeCell ref="D29:D30"/>
    <mergeCell ref="A26:A28"/>
    <mergeCell ref="B26:B28"/>
    <mergeCell ref="E26:E28"/>
    <mergeCell ref="F26:F28"/>
    <mergeCell ref="G26:G28"/>
    <mergeCell ref="D26:D28"/>
    <mergeCell ref="K21:K22"/>
    <mergeCell ref="A23:A25"/>
    <mergeCell ref="B23:B25"/>
    <mergeCell ref="E23:E25"/>
    <mergeCell ref="F23:F25"/>
    <mergeCell ref="G23:G25"/>
    <mergeCell ref="H23:H25"/>
    <mergeCell ref="I23:I25"/>
    <mergeCell ref="K23:K25"/>
    <mergeCell ref="A21:A22"/>
    <mergeCell ref="B21:B22"/>
    <mergeCell ref="E21:E22"/>
    <mergeCell ref="F21:F22"/>
    <mergeCell ref="G21:G22"/>
    <mergeCell ref="J23:J25"/>
    <mergeCell ref="D23:D25"/>
    <mergeCell ref="J26:J28"/>
    <mergeCell ref="H21:H22"/>
    <mergeCell ref="I21:I22"/>
    <mergeCell ref="B10:B11"/>
    <mergeCell ref="E10:E11"/>
    <mergeCell ref="F10:F11"/>
    <mergeCell ref="G10:G11"/>
    <mergeCell ref="D12:D14"/>
    <mergeCell ref="K12:K14"/>
    <mergeCell ref="B19:B20"/>
    <mergeCell ref="E19:E20"/>
    <mergeCell ref="F19:F20"/>
    <mergeCell ref="G19:G20"/>
    <mergeCell ref="H19:H20"/>
    <mergeCell ref="I19:I20"/>
    <mergeCell ref="K19:K20"/>
    <mergeCell ref="J12:J14"/>
    <mergeCell ref="E12:E14"/>
    <mergeCell ref="F12:F14"/>
    <mergeCell ref="G12:G14"/>
    <mergeCell ref="H12:H14"/>
    <mergeCell ref="I12:I14"/>
    <mergeCell ref="J19:J20"/>
    <mergeCell ref="D19:D20"/>
    <mergeCell ref="J29:J30"/>
    <mergeCell ref="J31:J32"/>
    <mergeCell ref="J21:J22"/>
    <mergeCell ref="A1:I1"/>
    <mergeCell ref="A2:L2"/>
    <mergeCell ref="A3:L3"/>
    <mergeCell ref="A4:L4"/>
    <mergeCell ref="J10:J11"/>
    <mergeCell ref="C10:C11"/>
    <mergeCell ref="D10:D11"/>
    <mergeCell ref="K8:K9"/>
    <mergeCell ref="L8:L9"/>
    <mergeCell ref="K10:K11"/>
    <mergeCell ref="L10:L11"/>
    <mergeCell ref="I8:I9"/>
    <mergeCell ref="H10:H11"/>
    <mergeCell ref="I10:I11"/>
    <mergeCell ref="D21:D22"/>
    <mergeCell ref="A8:A9"/>
    <mergeCell ref="B8:B9"/>
    <mergeCell ref="E8:F8"/>
    <mergeCell ref="G8:H8"/>
    <mergeCell ref="A12:A14"/>
    <mergeCell ref="B12:B14"/>
  </mergeCells>
  <phoneticPr fontId="0" type="noConversion"/>
  <hyperlinks>
    <hyperlink ref="A1:I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9"/>
  <sheetViews>
    <sheetView workbookViewId="0">
      <selection activeCell="B64" sqref="B64"/>
    </sheetView>
  </sheetViews>
  <sheetFormatPr defaultRowHeight="34.5" customHeight="1" x14ac:dyDescent="0.2"/>
  <cols>
    <col min="1" max="1" width="42" style="16" customWidth="1"/>
    <col min="2" max="2" width="21.5703125" style="4" customWidth="1"/>
    <col min="3" max="3" width="15.140625" style="4" customWidth="1"/>
    <col min="4" max="4" width="18.42578125" style="4" customWidth="1"/>
    <col min="5" max="6" width="15.140625" style="1" customWidth="1"/>
    <col min="7" max="7" width="15.5703125" style="1" customWidth="1"/>
    <col min="8" max="8" width="16.42578125" style="1" customWidth="1"/>
    <col min="9" max="9" width="15.85546875" style="1" customWidth="1"/>
    <col min="10" max="10" width="21.140625" style="1" customWidth="1"/>
    <col min="11" max="11" width="21.140625" style="2" customWidth="1"/>
    <col min="12" max="12" width="36.5703125" style="1" customWidth="1"/>
    <col min="13" max="13" width="25" style="1" customWidth="1"/>
    <col min="14" max="14" width="18.42578125" style="1" customWidth="1"/>
    <col min="15" max="16384" width="9.140625" style="1"/>
  </cols>
  <sheetData>
    <row r="1" spans="1:14" ht="12.75" x14ac:dyDescent="0.2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118"/>
    </row>
    <row r="2" spans="1:14" ht="13.5" customHeight="1" x14ac:dyDescent="0.2">
      <c r="A2" s="1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ht="16.5" customHeight="1" x14ac:dyDescent="0.2">
      <c r="A3" s="258" t="s">
        <v>142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4"/>
    </row>
    <row r="4" spans="1:14" ht="15.75" customHeight="1" x14ac:dyDescent="0.2">
      <c r="A4" s="258" t="s">
        <v>217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4"/>
    </row>
    <row r="5" spans="1:14" ht="20.25" customHeight="1" x14ac:dyDescent="0.2">
      <c r="A5" s="259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4"/>
    </row>
    <row r="6" spans="1:14" ht="12.75" customHeight="1" x14ac:dyDescent="0.2">
      <c r="A6" s="29"/>
      <c r="B6" s="29"/>
      <c r="C6" s="122"/>
      <c r="D6" s="122"/>
      <c r="E6" s="29"/>
      <c r="F6" s="29"/>
      <c r="G6" s="29"/>
      <c r="H6" s="29"/>
      <c r="I6" s="29"/>
      <c r="J6" s="122"/>
      <c r="K6" s="29"/>
      <c r="L6" s="29"/>
      <c r="M6" s="29"/>
      <c r="N6" s="4"/>
    </row>
    <row r="7" spans="1:14" ht="12.75" customHeight="1" x14ac:dyDescent="0.2">
      <c r="A7" s="266" t="s">
        <v>203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32"/>
      <c r="N7" s="4"/>
    </row>
    <row r="8" spans="1:14" ht="12.75" customHeight="1" x14ac:dyDescent="0.2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4"/>
    </row>
    <row r="9" spans="1:14" ht="12.75" customHeight="1" x14ac:dyDescent="0.2">
      <c r="A9" s="248" t="s">
        <v>16</v>
      </c>
      <c r="B9" s="248" t="s">
        <v>176</v>
      </c>
      <c r="C9" s="264" t="s">
        <v>128</v>
      </c>
      <c r="D9" s="264" t="s">
        <v>140</v>
      </c>
      <c r="E9" s="248" t="s">
        <v>17</v>
      </c>
      <c r="F9" s="248"/>
      <c r="G9" s="249" t="s">
        <v>18</v>
      </c>
      <c r="H9" s="249"/>
      <c r="I9" s="249" t="s">
        <v>55</v>
      </c>
      <c r="J9" s="250" t="s">
        <v>209</v>
      </c>
      <c r="K9" s="250" t="s">
        <v>144</v>
      </c>
      <c r="L9" s="249" t="s">
        <v>62</v>
      </c>
      <c r="M9" s="249" t="s">
        <v>63</v>
      </c>
      <c r="N9" s="4"/>
    </row>
    <row r="10" spans="1:14" ht="60" x14ac:dyDescent="0.2">
      <c r="A10" s="248"/>
      <c r="B10" s="248"/>
      <c r="C10" s="265"/>
      <c r="D10" s="265"/>
      <c r="E10" s="31" t="s">
        <v>19</v>
      </c>
      <c r="F10" s="31" t="s">
        <v>20</v>
      </c>
      <c r="G10" s="32" t="s">
        <v>21</v>
      </c>
      <c r="H10" s="33" t="s">
        <v>22</v>
      </c>
      <c r="I10" s="249"/>
      <c r="J10" s="251"/>
      <c r="K10" s="251"/>
      <c r="L10" s="249"/>
      <c r="M10" s="249"/>
      <c r="N10" s="4"/>
    </row>
    <row r="11" spans="1:14" ht="12.75" x14ac:dyDescent="0.2">
      <c r="A11" s="34" t="s">
        <v>23</v>
      </c>
      <c r="B11" s="248"/>
      <c r="C11" s="277">
        <f>SUM(C13:C36)</f>
        <v>0</v>
      </c>
      <c r="D11" s="277">
        <f>SUM(D13:D36)</f>
        <v>674901.13203390944</v>
      </c>
      <c r="E11" s="277">
        <f>SUM(E13:E36)</f>
        <v>3390487.4177221237</v>
      </c>
      <c r="F11" s="277">
        <f t="shared" ref="F11:H11" si="0">SUM(F13:F36)</f>
        <v>3878208.888888889</v>
      </c>
      <c r="G11" s="277">
        <f t="shared" si="0"/>
        <v>3167350.9499999997</v>
      </c>
      <c r="H11" s="277">
        <f t="shared" si="0"/>
        <v>3676696.8888888899</v>
      </c>
      <c r="I11" s="277">
        <f>E11-F11</f>
        <v>-487721.47116676532</v>
      </c>
      <c r="J11" s="277">
        <f t="shared" ref="J11:K11" si="1">SUM(J13:J36)</f>
        <v>1239037.5997560285</v>
      </c>
      <c r="K11" s="277">
        <f t="shared" si="1"/>
        <v>0</v>
      </c>
      <c r="L11" s="263"/>
      <c r="M11" s="263"/>
      <c r="N11" s="4"/>
    </row>
    <row r="12" spans="1:14" ht="12.75" x14ac:dyDescent="0.2">
      <c r="A12" s="35" t="s">
        <v>24</v>
      </c>
      <c r="B12" s="248"/>
      <c r="C12" s="277"/>
      <c r="D12" s="277"/>
      <c r="E12" s="277"/>
      <c r="F12" s="277"/>
      <c r="G12" s="277"/>
      <c r="H12" s="277"/>
      <c r="I12" s="277"/>
      <c r="J12" s="277"/>
      <c r="K12" s="277"/>
      <c r="L12" s="263"/>
      <c r="M12" s="263"/>
      <c r="N12" s="4"/>
    </row>
    <row r="13" spans="1:14" ht="102" x14ac:dyDescent="0.2">
      <c r="A13" s="273" t="s">
        <v>25</v>
      </c>
      <c r="B13" s="330">
        <v>8.8800000000000008</v>
      </c>
      <c r="C13" s="327"/>
      <c r="D13" s="327">
        <v>179404.78494227782</v>
      </c>
      <c r="E13" s="331">
        <f>1055130.19549737-200000</f>
        <v>855130.19549737009</v>
      </c>
      <c r="F13" s="322">
        <v>1254210.888888889</v>
      </c>
      <c r="G13" s="331">
        <v>884179.79</v>
      </c>
      <c r="H13" s="322">
        <v>1052698.8888888899</v>
      </c>
      <c r="I13" s="322">
        <v>-199080.69339152379</v>
      </c>
      <c r="J13" s="324">
        <v>350355.19043964299</v>
      </c>
      <c r="K13" s="303"/>
      <c r="L13" s="36" t="s">
        <v>64</v>
      </c>
      <c r="M13" s="36" t="s">
        <v>65</v>
      </c>
      <c r="N13" s="4"/>
    </row>
    <row r="14" spans="1:14" ht="25.5" x14ac:dyDescent="0.2">
      <c r="A14" s="273"/>
      <c r="B14" s="330"/>
      <c r="C14" s="328"/>
      <c r="D14" s="328"/>
      <c r="E14" s="331"/>
      <c r="F14" s="322"/>
      <c r="G14" s="331"/>
      <c r="H14" s="322"/>
      <c r="I14" s="322"/>
      <c r="J14" s="332"/>
      <c r="K14" s="304"/>
      <c r="L14" s="37" t="s">
        <v>66</v>
      </c>
      <c r="M14" s="36" t="s">
        <v>67</v>
      </c>
      <c r="N14" s="4"/>
    </row>
    <row r="15" spans="1:14" ht="25.5" x14ac:dyDescent="0.2">
      <c r="A15" s="273"/>
      <c r="B15" s="330"/>
      <c r="C15" s="329"/>
      <c r="D15" s="329"/>
      <c r="E15" s="331"/>
      <c r="F15" s="322"/>
      <c r="G15" s="331"/>
      <c r="H15" s="322"/>
      <c r="I15" s="322"/>
      <c r="J15" s="325"/>
      <c r="K15" s="305"/>
      <c r="L15" s="36" t="s">
        <v>68</v>
      </c>
      <c r="M15" s="36" t="s">
        <v>69</v>
      </c>
      <c r="N15" s="4"/>
    </row>
    <row r="16" spans="1:14" ht="25.5" x14ac:dyDescent="0.2">
      <c r="A16" s="38" t="s">
        <v>26</v>
      </c>
      <c r="B16" s="39">
        <v>5.08</v>
      </c>
      <c r="C16" s="171"/>
      <c r="D16" s="171">
        <v>114076.46587173385</v>
      </c>
      <c r="E16" s="172">
        <v>641048.25745687494</v>
      </c>
      <c r="F16" s="173">
        <v>363438</v>
      </c>
      <c r="G16" s="172">
        <v>542265.13</v>
      </c>
      <c r="H16" s="40">
        <v>363438</v>
      </c>
      <c r="I16" s="173">
        <v>277610.25745687494</v>
      </c>
      <c r="J16" s="173">
        <v>212859.59332860881</v>
      </c>
      <c r="K16" s="41"/>
      <c r="L16" s="36" t="s">
        <v>14</v>
      </c>
      <c r="M16" s="36" t="s">
        <v>65</v>
      </c>
      <c r="N16" s="4"/>
    </row>
    <row r="17" spans="1:14" ht="38.25" x14ac:dyDescent="0.2">
      <c r="A17" s="67" t="s">
        <v>56</v>
      </c>
      <c r="B17" s="39">
        <v>1.25</v>
      </c>
      <c r="C17" s="171"/>
      <c r="D17" s="171">
        <v>30633.905979078932</v>
      </c>
      <c r="E17" s="172">
        <f>157743.851738461-41000</f>
        <v>116743.851738461</v>
      </c>
      <c r="F17" s="173">
        <v>103157.66666666667</v>
      </c>
      <c r="G17" s="172">
        <v>135999.03</v>
      </c>
      <c r="H17" s="40">
        <v>103157.66666666667</v>
      </c>
      <c r="I17" s="173">
        <v>54586.185071794505</v>
      </c>
      <c r="J17" s="173">
        <v>52378.727717540118</v>
      </c>
      <c r="K17" s="41"/>
      <c r="L17" s="36" t="s">
        <v>70</v>
      </c>
      <c r="M17" s="36" t="s">
        <v>71</v>
      </c>
      <c r="N17" s="4"/>
    </row>
    <row r="18" spans="1:14" ht="51" x14ac:dyDescent="0.2">
      <c r="A18" s="67" t="s">
        <v>2</v>
      </c>
      <c r="B18" s="39">
        <v>1.82</v>
      </c>
      <c r="C18" s="171"/>
      <c r="D18" s="171">
        <v>41442.626139898144</v>
      </c>
      <c r="E18" s="172">
        <v>206465.54245649133</v>
      </c>
      <c r="F18" s="173">
        <v>207526.66666666666</v>
      </c>
      <c r="G18" s="172">
        <v>179351.44</v>
      </c>
      <c r="H18" s="173">
        <v>207526.66666666666</v>
      </c>
      <c r="I18" s="173">
        <v>-1061.1242101753305</v>
      </c>
      <c r="J18" s="173">
        <v>68556.728596389454</v>
      </c>
      <c r="K18" s="41"/>
      <c r="L18" s="36" t="s">
        <v>72</v>
      </c>
      <c r="M18" s="36" t="s">
        <v>65</v>
      </c>
      <c r="N18" s="4"/>
    </row>
    <row r="19" spans="1:14" ht="63.75" x14ac:dyDescent="0.2">
      <c r="A19" s="68" t="s">
        <v>28</v>
      </c>
      <c r="B19" s="39">
        <v>1.29</v>
      </c>
      <c r="C19" s="171"/>
      <c r="D19" s="171">
        <v>31497.334193491581</v>
      </c>
      <c r="E19" s="172">
        <v>162786.75615524215</v>
      </c>
      <c r="F19" s="173">
        <v>101338.33333333333</v>
      </c>
      <c r="G19" s="172">
        <v>140230.87</v>
      </c>
      <c r="H19" s="173">
        <v>101338.33333333333</v>
      </c>
      <c r="I19" s="173">
        <v>61448.422821908825</v>
      </c>
      <c r="J19" s="173">
        <v>54053.220348733732</v>
      </c>
      <c r="K19" s="41"/>
      <c r="L19" s="36" t="s">
        <v>73</v>
      </c>
      <c r="M19" s="36" t="s">
        <v>65</v>
      </c>
      <c r="N19" s="4"/>
    </row>
    <row r="20" spans="1:14" ht="12.75" x14ac:dyDescent="0.2">
      <c r="A20" s="253" t="s">
        <v>29</v>
      </c>
      <c r="B20" s="330"/>
      <c r="C20" s="327"/>
      <c r="D20" s="327"/>
      <c r="E20" s="331"/>
      <c r="F20" s="322"/>
      <c r="G20" s="331"/>
      <c r="H20" s="322"/>
      <c r="I20" s="322"/>
      <c r="J20" s="174"/>
      <c r="K20" s="303"/>
      <c r="L20" s="42"/>
      <c r="M20" s="42"/>
      <c r="N20" s="4"/>
    </row>
    <row r="21" spans="1:14" ht="12.75" x14ac:dyDescent="0.2">
      <c r="A21" s="253"/>
      <c r="B21" s="330"/>
      <c r="C21" s="329"/>
      <c r="D21" s="329"/>
      <c r="E21" s="331"/>
      <c r="F21" s="322"/>
      <c r="G21" s="331"/>
      <c r="H21" s="322"/>
      <c r="I21" s="322"/>
      <c r="J21" s="176"/>
      <c r="K21" s="305"/>
      <c r="L21" s="36"/>
      <c r="M21" s="36"/>
      <c r="N21" s="4"/>
    </row>
    <row r="22" spans="1:14" ht="12.75" x14ac:dyDescent="0.2">
      <c r="A22" s="253" t="s">
        <v>57</v>
      </c>
      <c r="B22" s="330">
        <v>0.53</v>
      </c>
      <c r="C22" s="327"/>
      <c r="D22" s="327">
        <v>16059.428997348652</v>
      </c>
      <c r="E22" s="331">
        <v>63806.6818925958</v>
      </c>
      <c r="F22" s="322">
        <v>95088.666666666672</v>
      </c>
      <c r="G22" s="331">
        <v>58679.15</v>
      </c>
      <c r="H22" s="322">
        <v>95088.666666666672</v>
      </c>
      <c r="I22" s="322">
        <v>-31281.984774070872</v>
      </c>
      <c r="J22" s="324">
        <v>21186.96088994445</v>
      </c>
      <c r="K22" s="303"/>
      <c r="L22" s="42" t="s">
        <v>74</v>
      </c>
      <c r="M22" s="42" t="s">
        <v>75</v>
      </c>
      <c r="N22" s="4"/>
    </row>
    <row r="23" spans="1:14" ht="38.25" x14ac:dyDescent="0.2">
      <c r="A23" s="253"/>
      <c r="B23" s="330"/>
      <c r="C23" s="329"/>
      <c r="D23" s="329"/>
      <c r="E23" s="331"/>
      <c r="F23" s="322"/>
      <c r="G23" s="331"/>
      <c r="H23" s="322"/>
      <c r="I23" s="322"/>
      <c r="J23" s="325"/>
      <c r="K23" s="305"/>
      <c r="L23" s="36" t="s">
        <v>76</v>
      </c>
      <c r="M23" s="36" t="s">
        <v>65</v>
      </c>
      <c r="N23" s="4"/>
    </row>
    <row r="24" spans="1:14" ht="12.75" x14ac:dyDescent="0.2">
      <c r="A24" s="253" t="s">
        <v>58</v>
      </c>
      <c r="B24" s="330">
        <v>0.41</v>
      </c>
      <c r="C24" s="327"/>
      <c r="D24" s="327">
        <v>12491.754703963095</v>
      </c>
      <c r="E24" s="331">
        <v>51739.55611891664</v>
      </c>
      <c r="F24" s="322">
        <v>40853.333333333336</v>
      </c>
      <c r="G24" s="331">
        <v>47051.23</v>
      </c>
      <c r="H24" s="322">
        <v>40853.333333333336</v>
      </c>
      <c r="I24" s="322">
        <v>10886.222785583304</v>
      </c>
      <c r="J24" s="324">
        <v>17180.080822879736</v>
      </c>
      <c r="K24" s="303"/>
      <c r="L24" s="42" t="s">
        <v>77</v>
      </c>
      <c r="M24" s="42" t="s">
        <v>78</v>
      </c>
      <c r="N24" s="4"/>
    </row>
    <row r="25" spans="1:14" ht="51" x14ac:dyDescent="0.2">
      <c r="A25" s="253"/>
      <c r="B25" s="330"/>
      <c r="C25" s="329"/>
      <c r="D25" s="329"/>
      <c r="E25" s="331"/>
      <c r="F25" s="322"/>
      <c r="G25" s="331"/>
      <c r="H25" s="322"/>
      <c r="I25" s="322"/>
      <c r="J25" s="325"/>
      <c r="K25" s="305"/>
      <c r="L25" s="36" t="s">
        <v>79</v>
      </c>
      <c r="M25" s="36" t="s">
        <v>65</v>
      </c>
      <c r="N25" s="4"/>
    </row>
    <row r="26" spans="1:14" ht="38.25" x14ac:dyDescent="0.2">
      <c r="A26" s="253" t="s">
        <v>59</v>
      </c>
      <c r="B26" s="330">
        <v>1.85</v>
      </c>
      <c r="C26" s="327"/>
      <c r="D26" s="327">
        <v>46801.720556043263</v>
      </c>
      <c r="E26" s="331">
        <f>245292.859586621-50000</f>
        <v>195292.85958662099</v>
      </c>
      <c r="F26" s="322">
        <v>341394.66666666669</v>
      </c>
      <c r="G26" s="331">
        <v>210645.27</v>
      </c>
      <c r="H26" s="322">
        <v>341394.66666666669</v>
      </c>
      <c r="I26" s="322">
        <v>-96101.807080045255</v>
      </c>
      <c r="J26" s="324">
        <v>81449.310142664704</v>
      </c>
      <c r="K26" s="303"/>
      <c r="L26" s="42" t="s">
        <v>80</v>
      </c>
      <c r="M26" s="42" t="s">
        <v>81</v>
      </c>
      <c r="N26" s="4"/>
    </row>
    <row r="27" spans="1:14" ht="12.75" x14ac:dyDescent="0.2">
      <c r="A27" s="253"/>
      <c r="B27" s="330"/>
      <c r="C27" s="328"/>
      <c r="D27" s="328"/>
      <c r="E27" s="331"/>
      <c r="F27" s="322"/>
      <c r="G27" s="331"/>
      <c r="H27" s="322"/>
      <c r="I27" s="322"/>
      <c r="J27" s="332"/>
      <c r="K27" s="304"/>
      <c r="L27" s="42" t="s">
        <v>82</v>
      </c>
      <c r="M27" s="36" t="s">
        <v>69</v>
      </c>
      <c r="N27" s="4"/>
    </row>
    <row r="28" spans="1:14" ht="38.25" x14ac:dyDescent="0.2">
      <c r="A28" s="253"/>
      <c r="B28" s="330"/>
      <c r="C28" s="329"/>
      <c r="D28" s="329"/>
      <c r="E28" s="331"/>
      <c r="F28" s="322"/>
      <c r="G28" s="331"/>
      <c r="H28" s="322"/>
      <c r="I28" s="322"/>
      <c r="J28" s="325"/>
      <c r="K28" s="305"/>
      <c r="L28" s="36" t="s">
        <v>83</v>
      </c>
      <c r="M28" s="36" t="s">
        <v>65</v>
      </c>
      <c r="N28" s="4"/>
    </row>
    <row r="29" spans="1:14" ht="12.75" x14ac:dyDescent="0.2">
      <c r="A29" s="253" t="s">
        <v>33</v>
      </c>
      <c r="B29" s="330">
        <v>5.77</v>
      </c>
      <c r="C29" s="327"/>
      <c r="D29" s="327">
        <v>130735.11597790918</v>
      </c>
      <c r="E29" s="331">
        <v>728116.26348060323</v>
      </c>
      <c r="F29" s="322">
        <v>959390</v>
      </c>
      <c r="G29" s="331">
        <v>617080.92000000004</v>
      </c>
      <c r="H29" s="322">
        <v>959390</v>
      </c>
      <c r="I29" s="322">
        <v>-231273.73651939677</v>
      </c>
      <c r="J29" s="324">
        <v>241770.45945851237</v>
      </c>
      <c r="K29" s="303"/>
      <c r="L29" s="318" t="s">
        <v>84</v>
      </c>
      <c r="M29" s="333" t="s">
        <v>85</v>
      </c>
      <c r="N29" s="4"/>
    </row>
    <row r="30" spans="1:14" ht="12.75" x14ac:dyDescent="0.2">
      <c r="A30" s="253"/>
      <c r="B30" s="330"/>
      <c r="C30" s="328"/>
      <c r="D30" s="328"/>
      <c r="E30" s="331"/>
      <c r="F30" s="322"/>
      <c r="G30" s="331"/>
      <c r="H30" s="322"/>
      <c r="I30" s="322"/>
      <c r="J30" s="332"/>
      <c r="K30" s="304"/>
      <c r="L30" s="319"/>
      <c r="M30" s="334"/>
      <c r="N30" s="4"/>
    </row>
    <row r="31" spans="1:14" ht="12.75" x14ac:dyDescent="0.2">
      <c r="A31" s="253"/>
      <c r="B31" s="330"/>
      <c r="C31" s="329"/>
      <c r="D31" s="329"/>
      <c r="E31" s="331"/>
      <c r="F31" s="322"/>
      <c r="G31" s="331"/>
      <c r="H31" s="322"/>
      <c r="I31" s="322"/>
      <c r="J31" s="325"/>
      <c r="K31" s="305"/>
      <c r="L31" s="320"/>
      <c r="M31" s="335"/>
      <c r="N31" s="4"/>
    </row>
    <row r="32" spans="1:14" ht="25.5" x14ac:dyDescent="0.2">
      <c r="A32" s="253" t="s">
        <v>60</v>
      </c>
      <c r="B32" s="330">
        <v>125</v>
      </c>
      <c r="C32" s="327"/>
      <c r="D32" s="327">
        <v>42022.184793505119</v>
      </c>
      <c r="E32" s="331">
        <v>206935.10004971019</v>
      </c>
      <c r="F32" s="322">
        <v>180339</v>
      </c>
      <c r="G32" s="331">
        <v>180244.64</v>
      </c>
      <c r="H32" s="322">
        <v>180339</v>
      </c>
      <c r="I32" s="322">
        <v>26596.100049710192</v>
      </c>
      <c r="J32" s="324">
        <v>68712.644843215297</v>
      </c>
      <c r="K32" s="303"/>
      <c r="L32" s="42" t="s">
        <v>86</v>
      </c>
      <c r="M32" s="42" t="s">
        <v>87</v>
      </c>
      <c r="N32" s="4"/>
    </row>
    <row r="33" spans="1:14" ht="38.25" x14ac:dyDescent="0.2">
      <c r="A33" s="253"/>
      <c r="B33" s="330"/>
      <c r="C33" s="329"/>
      <c r="D33" s="329"/>
      <c r="E33" s="331"/>
      <c r="F33" s="322"/>
      <c r="G33" s="331"/>
      <c r="H33" s="322"/>
      <c r="I33" s="322"/>
      <c r="J33" s="325"/>
      <c r="K33" s="305"/>
      <c r="L33" s="36" t="s">
        <v>76</v>
      </c>
      <c r="M33" s="36" t="s">
        <v>65</v>
      </c>
      <c r="N33" s="4"/>
    </row>
    <row r="34" spans="1:14" ht="25.5" x14ac:dyDescent="0.2">
      <c r="A34" s="253" t="s">
        <v>35</v>
      </c>
      <c r="B34" s="330">
        <v>1.77</v>
      </c>
      <c r="C34" s="327"/>
      <c r="D34" s="327">
        <v>29735.809878659784</v>
      </c>
      <c r="E34" s="331">
        <f>212422.353289237-50000</f>
        <v>162422.35328923701</v>
      </c>
      <c r="F34" s="322">
        <v>231471.66666666666</v>
      </c>
      <c r="G34" s="331">
        <v>171623.48</v>
      </c>
      <c r="H34" s="322">
        <v>231471.66666666666</v>
      </c>
      <c r="I34" s="322">
        <v>-19049.313377429498</v>
      </c>
      <c r="J34" s="324">
        <v>70534.683167896932</v>
      </c>
      <c r="K34" s="303"/>
      <c r="L34" s="42" t="s">
        <v>88</v>
      </c>
      <c r="M34" s="42" t="s">
        <v>89</v>
      </c>
      <c r="N34" s="4"/>
    </row>
    <row r="35" spans="1:14" ht="38.25" x14ac:dyDescent="0.2">
      <c r="A35" s="253"/>
      <c r="B35" s="330"/>
      <c r="C35" s="329"/>
      <c r="D35" s="329"/>
      <c r="E35" s="331"/>
      <c r="F35" s="322"/>
      <c r="G35" s="331"/>
      <c r="H35" s="322"/>
      <c r="I35" s="322"/>
      <c r="J35" s="325"/>
      <c r="K35" s="305"/>
      <c r="L35" s="36" t="s">
        <v>76</v>
      </c>
      <c r="M35" s="36" t="s">
        <v>65</v>
      </c>
      <c r="N35" s="4"/>
    </row>
    <row r="36" spans="1:14" ht="12.75" x14ac:dyDescent="0.2">
      <c r="A36" s="38"/>
      <c r="B36" s="39"/>
      <c r="C36" s="171"/>
      <c r="D36" s="171"/>
      <c r="E36" s="172"/>
      <c r="F36" s="173"/>
      <c r="G36" s="172"/>
      <c r="H36" s="173"/>
      <c r="I36" s="173"/>
      <c r="J36" s="175"/>
      <c r="K36" s="169"/>
      <c r="L36" s="43"/>
      <c r="M36" s="36"/>
      <c r="N36" s="4"/>
    </row>
    <row r="37" spans="1:14" ht="12.75" x14ac:dyDescent="0.2">
      <c r="A37" s="44" t="s">
        <v>40</v>
      </c>
      <c r="B37" s="249"/>
      <c r="C37" s="323"/>
      <c r="D37" s="323">
        <v>766196.82881471841</v>
      </c>
      <c r="E37" s="323">
        <v>3920338.6365969284</v>
      </c>
      <c r="F37" s="323">
        <v>3907695.2475466249</v>
      </c>
      <c r="G37" s="323">
        <v>3384789.96</v>
      </c>
      <c r="H37" s="323">
        <v>2906731.7732826374</v>
      </c>
      <c r="I37" s="326">
        <v>12643.389050303493</v>
      </c>
      <c r="J37" s="323">
        <v>1301745.5054116466</v>
      </c>
      <c r="K37" s="323">
        <v>5839392</v>
      </c>
      <c r="L37" s="249"/>
      <c r="M37" s="263"/>
      <c r="N37" s="4"/>
    </row>
    <row r="38" spans="1:14" ht="12.75" x14ac:dyDescent="0.2">
      <c r="A38" s="45" t="s">
        <v>24</v>
      </c>
      <c r="B38" s="249"/>
      <c r="C38" s="323"/>
      <c r="D38" s="323"/>
      <c r="E38" s="323"/>
      <c r="F38" s="323"/>
      <c r="G38" s="323"/>
      <c r="H38" s="323"/>
      <c r="I38" s="326"/>
      <c r="J38" s="323"/>
      <c r="K38" s="323"/>
      <c r="L38" s="249"/>
      <c r="M38" s="263"/>
      <c r="N38" s="4"/>
    </row>
    <row r="39" spans="1:14" ht="12.75" x14ac:dyDescent="0.2">
      <c r="A39" s="46" t="s">
        <v>41</v>
      </c>
      <c r="B39" s="47" t="s">
        <v>42</v>
      </c>
      <c r="C39" s="41">
        <v>8904.7374961261467</v>
      </c>
      <c r="D39" s="178">
        <v>157537.13425912883</v>
      </c>
      <c r="E39" s="173">
        <v>752272.2236727369</v>
      </c>
      <c r="F39" s="321">
        <v>2537650.2100414014</v>
      </c>
      <c r="G39" s="171">
        <v>660017.93000000005</v>
      </c>
      <c r="H39" s="321">
        <v>1776355.147028981</v>
      </c>
      <c r="I39" s="322">
        <v>0</v>
      </c>
      <c r="J39" s="173">
        <v>249791.42793186565</v>
      </c>
      <c r="K39" s="321">
        <v>5026405.666666667</v>
      </c>
      <c r="L39" s="263" t="s">
        <v>90</v>
      </c>
      <c r="M39" s="263" t="s">
        <v>91</v>
      </c>
      <c r="N39" s="4"/>
    </row>
    <row r="40" spans="1:14" ht="12.75" x14ac:dyDescent="0.2">
      <c r="A40" s="46" t="s">
        <v>43</v>
      </c>
      <c r="B40" s="48" t="s">
        <v>44</v>
      </c>
      <c r="C40" s="41">
        <v>1275.2699902633319</v>
      </c>
      <c r="D40" s="178">
        <v>310312.44560167822</v>
      </c>
      <c r="E40" s="173">
        <v>1785377.9863686645</v>
      </c>
      <c r="F40" s="321"/>
      <c r="G40" s="171">
        <v>1502857.01</v>
      </c>
      <c r="H40" s="321"/>
      <c r="I40" s="322"/>
      <c r="J40" s="173">
        <v>592833.42197034275</v>
      </c>
      <c r="K40" s="321"/>
      <c r="L40" s="263"/>
      <c r="M40" s="263"/>
      <c r="N40" s="4"/>
    </row>
    <row r="41" spans="1:14" ht="12.75" x14ac:dyDescent="0.2">
      <c r="A41" s="46" t="s">
        <v>45</v>
      </c>
      <c r="B41" s="47" t="s">
        <v>46</v>
      </c>
      <c r="C41" s="41">
        <v>14356.719702327628</v>
      </c>
      <c r="D41" s="178">
        <v>78327.804559506068</v>
      </c>
      <c r="E41" s="173">
        <v>301491.11374888016</v>
      </c>
      <c r="F41" s="321">
        <v>798894.70417189004</v>
      </c>
      <c r="G41" s="171">
        <v>279709.01999999996</v>
      </c>
      <c r="H41" s="321">
        <v>559226.29292032297</v>
      </c>
      <c r="I41" s="322">
        <v>0</v>
      </c>
      <c r="J41" s="173">
        <v>100109.89830838627</v>
      </c>
      <c r="K41" s="321">
        <v>762584</v>
      </c>
      <c r="L41" s="263" t="s">
        <v>92</v>
      </c>
      <c r="M41" s="263" t="s">
        <v>93</v>
      </c>
      <c r="N41" s="4"/>
    </row>
    <row r="42" spans="1:14" ht="12.75" x14ac:dyDescent="0.2">
      <c r="A42" s="49" t="s">
        <v>47</v>
      </c>
      <c r="B42" s="50" t="s">
        <v>46</v>
      </c>
      <c r="C42" s="41">
        <v>23261.457198453776</v>
      </c>
      <c r="D42" s="178">
        <v>111607.84889980749</v>
      </c>
      <c r="E42" s="173">
        <v>497403.59042300988</v>
      </c>
      <c r="F42" s="321"/>
      <c r="G42" s="171">
        <v>443848.95</v>
      </c>
      <c r="H42" s="321"/>
      <c r="I42" s="322"/>
      <c r="J42" s="173">
        <v>165162.48932281736</v>
      </c>
      <c r="K42" s="321"/>
      <c r="L42" s="263"/>
      <c r="M42" s="263"/>
      <c r="N42" s="4"/>
    </row>
    <row r="43" spans="1:14" ht="63.75" x14ac:dyDescent="0.2">
      <c r="A43" s="49" t="s">
        <v>48</v>
      </c>
      <c r="B43" s="50" t="s">
        <v>94</v>
      </c>
      <c r="C43" s="41">
        <v>291896.86119181837</v>
      </c>
      <c r="D43" s="178">
        <v>108411.59549459763</v>
      </c>
      <c r="E43" s="126">
        <v>583793.72238363675</v>
      </c>
      <c r="F43" s="51">
        <v>571150.33333333337</v>
      </c>
      <c r="G43" s="171">
        <v>498357.05</v>
      </c>
      <c r="H43" s="51">
        <v>571150.33333333337</v>
      </c>
      <c r="I43" s="173">
        <v>12643.389050303376</v>
      </c>
      <c r="J43" s="173">
        <v>193848.26787823442</v>
      </c>
      <c r="K43" s="51">
        <v>50402.333333333336</v>
      </c>
      <c r="L43" s="50" t="s">
        <v>95</v>
      </c>
      <c r="M43" s="50" t="s">
        <v>96</v>
      </c>
      <c r="N43" s="4"/>
    </row>
    <row r="44" spans="1:14" ht="120" x14ac:dyDescent="0.2">
      <c r="A44" s="69" t="s">
        <v>49</v>
      </c>
      <c r="B44" s="52">
        <f>'[2]Тарифы Нач Затр '!$E$29</f>
        <v>6.1</v>
      </c>
      <c r="C44" s="170"/>
      <c r="D44" s="201">
        <v>119240.97617834737</v>
      </c>
      <c r="E44" s="200">
        <f>722438.823635762-150000</f>
        <v>572438.82363576198</v>
      </c>
      <c r="F44" s="200">
        <v>759065.77777777787</v>
      </c>
      <c r="G44" s="53">
        <v>601794.53</v>
      </c>
      <c r="H44" s="200">
        <v>759065.77777777787</v>
      </c>
      <c r="I44" s="200">
        <v>-36626.954142016359</v>
      </c>
      <c r="J44" s="200">
        <v>239885.26981410885</v>
      </c>
      <c r="K44" s="177"/>
      <c r="L44" s="54" t="s">
        <v>97</v>
      </c>
      <c r="M44" s="36" t="s">
        <v>65</v>
      </c>
      <c r="N44" s="4"/>
    </row>
    <row r="45" spans="1:14" ht="25.5" x14ac:dyDescent="0.2">
      <c r="A45" s="34" t="s">
        <v>50</v>
      </c>
      <c r="B45" s="55">
        <v>2.3599999999999999E-2</v>
      </c>
      <c r="C45" s="171"/>
      <c r="D45" s="201">
        <v>33703.915119762707</v>
      </c>
      <c r="E45" s="201">
        <v>159012.19504036463</v>
      </c>
      <c r="F45" s="201">
        <v>159012.19504036463</v>
      </c>
      <c r="G45" s="201">
        <v>139916.23000000001</v>
      </c>
      <c r="H45" s="199">
        <v>159012.19504036463</v>
      </c>
      <c r="I45" s="200">
        <v>0</v>
      </c>
      <c r="J45" s="200">
        <v>52799.880160127323</v>
      </c>
      <c r="K45" s="171"/>
      <c r="L45" s="56" t="s">
        <v>98</v>
      </c>
      <c r="M45" s="47" t="s">
        <v>99</v>
      </c>
      <c r="N45" s="4"/>
    </row>
    <row r="46" spans="1:14" ht="12.75" x14ac:dyDescent="0.2">
      <c r="A46" s="34" t="s">
        <v>100</v>
      </c>
      <c r="B46" s="55"/>
      <c r="C46" s="170"/>
      <c r="D46" s="201">
        <v>20153.747853262481</v>
      </c>
      <c r="E46" s="201">
        <v>60695.047004825974</v>
      </c>
      <c r="F46" s="201">
        <v>60695.05</v>
      </c>
      <c r="G46" s="201">
        <v>60695.05</v>
      </c>
      <c r="H46" s="199">
        <v>60695.05</v>
      </c>
      <c r="I46" s="200">
        <v>-2.9951740289106965E-3</v>
      </c>
      <c r="J46" s="200">
        <v>20153.744858088448</v>
      </c>
      <c r="K46" s="171"/>
      <c r="L46" s="56"/>
      <c r="M46" s="47"/>
      <c r="N46" s="4"/>
    </row>
    <row r="47" spans="1:14" ht="12.75" x14ac:dyDescent="0.2">
      <c r="A47" s="57" t="s">
        <v>51</v>
      </c>
      <c r="B47" s="58"/>
      <c r="C47" s="123">
        <f t="shared" ref="C47" si="2">SUM(C11,C37,C44,C45,C46)</f>
        <v>0</v>
      </c>
      <c r="D47" s="123">
        <f>SUM(D11,D37,D44,D45,D46)</f>
        <v>1614196.6000000006</v>
      </c>
      <c r="E47" s="123">
        <f>SUM(E11,E37,E44,E45,E46)</f>
        <v>8102972.1200000048</v>
      </c>
      <c r="F47" s="123">
        <f t="shared" ref="F47:I47" si="3">SUM(F11,F37,F44,F45,F46)</f>
        <v>8764677.1592536569</v>
      </c>
      <c r="G47" s="123">
        <f t="shared" si="3"/>
        <v>7354546.7200000007</v>
      </c>
      <c r="H47" s="123">
        <f t="shared" si="3"/>
        <v>7562201.6849896703</v>
      </c>
      <c r="I47" s="123">
        <f t="shared" si="3"/>
        <v>-511705.03925365221</v>
      </c>
      <c r="J47" s="146">
        <v>2853622</v>
      </c>
      <c r="K47" s="123">
        <f t="shared" ref="K47" si="4">SUM(K11,K37,K44,K45,K46)</f>
        <v>5839392</v>
      </c>
      <c r="L47" s="47"/>
      <c r="M47" s="46"/>
      <c r="N47" s="4"/>
    </row>
    <row r="48" spans="1:14" ht="15" customHeight="1" x14ac:dyDescent="0.2">
      <c r="A48" s="59"/>
      <c r="B48" s="60"/>
      <c r="C48" s="60"/>
      <c r="D48" s="60"/>
      <c r="E48" s="61"/>
      <c r="F48" s="61"/>
      <c r="G48" s="61"/>
      <c r="H48" s="61"/>
      <c r="I48" s="62"/>
      <c r="J48" s="160">
        <f>J11+J37+J45+J46+J44</f>
        <v>2853621.9999999995</v>
      </c>
      <c r="K48" s="63"/>
      <c r="L48" s="64"/>
      <c r="M48" s="65"/>
      <c r="N48" s="4"/>
    </row>
    <row r="49" spans="1:14" ht="27" customHeight="1" x14ac:dyDescent="0.2">
      <c r="A49" s="145" t="s">
        <v>123</v>
      </c>
      <c r="B49" s="140">
        <v>312008.33333333331</v>
      </c>
      <c r="C49" s="1" t="s">
        <v>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4"/>
    </row>
    <row r="50" spans="1:14" ht="25.5" customHeight="1" x14ac:dyDescent="0.2">
      <c r="A50" s="145" t="s">
        <v>124</v>
      </c>
      <c r="B50" s="140">
        <v>104353.3683436634</v>
      </c>
      <c r="C50" s="1" t="s">
        <v>4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4"/>
    </row>
    <row r="51" spans="1:14" ht="15" customHeight="1" thickBot="1" x14ac:dyDescent="0.25">
      <c r="A51" s="117"/>
      <c r="B51" s="161">
        <f>313061/3</f>
        <v>104353.66666666667</v>
      </c>
      <c r="C51" s="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4"/>
    </row>
    <row r="52" spans="1:14" ht="27.75" customHeight="1" x14ac:dyDescent="0.2">
      <c r="A52" s="241" t="s">
        <v>197</v>
      </c>
      <c r="B52" s="242"/>
      <c r="C52" s="243"/>
      <c r="E52" s="4"/>
      <c r="F52" s="4"/>
      <c r="G52" s="4"/>
      <c r="H52" s="4"/>
      <c r="I52" s="4"/>
      <c r="J52" s="4"/>
      <c r="K52" s="16"/>
      <c r="L52" s="4"/>
      <c r="M52" s="4"/>
      <c r="N52" s="4"/>
    </row>
    <row r="53" spans="1:14" ht="15" customHeight="1" x14ac:dyDescent="0.2">
      <c r="A53" s="225" t="s">
        <v>198</v>
      </c>
      <c r="B53" s="244" t="s">
        <v>199</v>
      </c>
      <c r="C53" s="245"/>
    </row>
    <row r="54" spans="1:14" ht="39" customHeight="1" thickBot="1" x14ac:dyDescent="0.25">
      <c r="A54" s="226" t="s">
        <v>214</v>
      </c>
      <c r="B54" s="246" t="s">
        <v>201</v>
      </c>
      <c r="C54" s="247"/>
    </row>
    <row r="55" spans="1:14" ht="15" customHeight="1" x14ac:dyDescent="0.2"/>
    <row r="56" spans="1:14" ht="15" customHeight="1" x14ac:dyDescent="0.2"/>
    <row r="57" spans="1:14" ht="15" customHeight="1" x14ac:dyDescent="0.2"/>
    <row r="58" spans="1:14" ht="15" customHeight="1" x14ac:dyDescent="0.2"/>
    <row r="59" spans="1:14" ht="15" customHeight="1" x14ac:dyDescent="0.2"/>
  </sheetData>
  <mergeCells count="144">
    <mergeCell ref="B9:B10"/>
    <mergeCell ref="E9:F9"/>
    <mergeCell ref="G9:H9"/>
    <mergeCell ref="B22:B23"/>
    <mergeCell ref="E22:E23"/>
    <mergeCell ref="F22:F23"/>
    <mergeCell ref="G22:G23"/>
    <mergeCell ref="H22:H23"/>
    <mergeCell ref="A26:A28"/>
    <mergeCell ref="B26:B28"/>
    <mergeCell ref="E26:E28"/>
    <mergeCell ref="F26:F28"/>
    <mergeCell ref="G26:G28"/>
    <mergeCell ref="H26:H28"/>
    <mergeCell ref="A3:M3"/>
    <mergeCell ref="A4:M4"/>
    <mergeCell ref="A5:M5"/>
    <mergeCell ref="A1:I1"/>
    <mergeCell ref="K9:K10"/>
    <mergeCell ref="L9:L10"/>
    <mergeCell ref="M9:M10"/>
    <mergeCell ref="B11:B12"/>
    <mergeCell ref="E11:E12"/>
    <mergeCell ref="F11:F12"/>
    <mergeCell ref="G11:G12"/>
    <mergeCell ref="H11:H12"/>
    <mergeCell ref="I11:I12"/>
    <mergeCell ref="K11:K12"/>
    <mergeCell ref="L11:L12"/>
    <mergeCell ref="M11:M12"/>
    <mergeCell ref="J9:J10"/>
    <mergeCell ref="J11:J12"/>
    <mergeCell ref="I9:I10"/>
    <mergeCell ref="C9:C10"/>
    <mergeCell ref="D9:D10"/>
    <mergeCell ref="C11:C12"/>
    <mergeCell ref="D11:D12"/>
    <mergeCell ref="A9:A10"/>
    <mergeCell ref="K13:K15"/>
    <mergeCell ref="A20:A21"/>
    <mergeCell ref="B20:B21"/>
    <mergeCell ref="E20:E21"/>
    <mergeCell ref="F20:F21"/>
    <mergeCell ref="G20:G21"/>
    <mergeCell ref="H20:H21"/>
    <mergeCell ref="I20:I21"/>
    <mergeCell ref="K20:K21"/>
    <mergeCell ref="J13:J15"/>
    <mergeCell ref="D20:D21"/>
    <mergeCell ref="C20:C21"/>
    <mergeCell ref="A13:A15"/>
    <mergeCell ref="B13:B15"/>
    <mergeCell ref="E13:E15"/>
    <mergeCell ref="F13:F15"/>
    <mergeCell ref="G13:G15"/>
    <mergeCell ref="H13:H15"/>
    <mergeCell ref="I13:I15"/>
    <mergeCell ref="D13:D15"/>
    <mergeCell ref="C13:C15"/>
    <mergeCell ref="I22:I23"/>
    <mergeCell ref="K22:K23"/>
    <mergeCell ref="A24:A25"/>
    <mergeCell ref="B24:B25"/>
    <mergeCell ref="E24:E25"/>
    <mergeCell ref="F24:F25"/>
    <mergeCell ref="G24:G25"/>
    <mergeCell ref="H24:H25"/>
    <mergeCell ref="I24:I25"/>
    <mergeCell ref="K24:K25"/>
    <mergeCell ref="A22:A23"/>
    <mergeCell ref="J22:J23"/>
    <mergeCell ref="J24:J25"/>
    <mergeCell ref="D22:D23"/>
    <mergeCell ref="C22:C23"/>
    <mergeCell ref="D24:D25"/>
    <mergeCell ref="C24:C25"/>
    <mergeCell ref="I26:I28"/>
    <mergeCell ref="K26:K28"/>
    <mergeCell ref="J26:J28"/>
    <mergeCell ref="D26:D28"/>
    <mergeCell ref="C26:C28"/>
    <mergeCell ref="L29:L31"/>
    <mergeCell ref="M29:M31"/>
    <mergeCell ref="A32:A33"/>
    <mergeCell ref="B32:B33"/>
    <mergeCell ref="E32:E33"/>
    <mergeCell ref="F32:F33"/>
    <mergeCell ref="G32:G33"/>
    <mergeCell ref="H32:H33"/>
    <mergeCell ref="I32:I33"/>
    <mergeCell ref="K32:K33"/>
    <mergeCell ref="A29:A31"/>
    <mergeCell ref="B29:B31"/>
    <mergeCell ref="E29:E31"/>
    <mergeCell ref="F29:F31"/>
    <mergeCell ref="G29:G31"/>
    <mergeCell ref="H29:H31"/>
    <mergeCell ref="I29:I31"/>
    <mergeCell ref="K29:K31"/>
    <mergeCell ref="J29:J31"/>
    <mergeCell ref="E37:E38"/>
    <mergeCell ref="F37:F38"/>
    <mergeCell ref="G37:G38"/>
    <mergeCell ref="H37:H38"/>
    <mergeCell ref="I37:I38"/>
    <mergeCell ref="K37:K38"/>
    <mergeCell ref="J32:J33"/>
    <mergeCell ref="D29:D31"/>
    <mergeCell ref="A34:A35"/>
    <mergeCell ref="B34:B35"/>
    <mergeCell ref="E34:E35"/>
    <mergeCell ref="F34:F35"/>
    <mergeCell ref="G34:G35"/>
    <mergeCell ref="H34:H35"/>
    <mergeCell ref="I34:I35"/>
    <mergeCell ref="C29:C31"/>
    <mergeCell ref="D32:D33"/>
    <mergeCell ref="C32:C33"/>
    <mergeCell ref="D34:D35"/>
    <mergeCell ref="C34:C35"/>
    <mergeCell ref="A52:C52"/>
    <mergeCell ref="B53:C53"/>
    <mergeCell ref="B54:C54"/>
    <mergeCell ref="A7:L7"/>
    <mergeCell ref="F41:F42"/>
    <mergeCell ref="H41:H42"/>
    <mergeCell ref="I41:I42"/>
    <mergeCell ref="L41:L42"/>
    <mergeCell ref="M41:M42"/>
    <mergeCell ref="K39:K40"/>
    <mergeCell ref="K41:K42"/>
    <mergeCell ref="L37:L38"/>
    <mergeCell ref="C37:C38"/>
    <mergeCell ref="D37:D38"/>
    <mergeCell ref="J37:J38"/>
    <mergeCell ref="M37:M38"/>
    <mergeCell ref="F39:F40"/>
    <mergeCell ref="H39:H40"/>
    <mergeCell ref="I39:I40"/>
    <mergeCell ref="L39:L40"/>
    <mergeCell ref="M39:M40"/>
    <mergeCell ref="K34:K35"/>
    <mergeCell ref="J34:J35"/>
    <mergeCell ref="B37:B38"/>
  </mergeCells>
  <phoneticPr fontId="25" type="noConversion"/>
  <hyperlinks>
    <hyperlink ref="A1:I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8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"/>
  <sheetViews>
    <sheetView workbookViewId="0">
      <selection activeCell="B64" sqref="B64"/>
    </sheetView>
  </sheetViews>
  <sheetFormatPr defaultRowHeight="12.75" x14ac:dyDescent="0.2"/>
  <cols>
    <col min="1" max="1" width="48.85546875" style="2" customWidth="1"/>
    <col min="2" max="2" width="21" style="1" customWidth="1"/>
    <col min="3" max="3" width="19.140625" style="1" customWidth="1"/>
    <col min="4" max="4" width="20" style="1" customWidth="1"/>
    <col min="5" max="5" width="18" style="1" customWidth="1"/>
    <col min="6" max="6" width="14" style="1" customWidth="1"/>
    <col min="7" max="7" width="16.7109375" style="1" customWidth="1"/>
    <col min="8" max="8" width="17.7109375" style="1" customWidth="1"/>
    <col min="9" max="9" width="14.85546875" style="1" customWidth="1"/>
    <col min="10" max="10" width="20" style="1" customWidth="1"/>
    <col min="11" max="11" width="18.42578125" style="2" customWidth="1"/>
    <col min="12" max="12" width="38.85546875" style="1" customWidth="1"/>
    <col min="13" max="13" width="30.5703125" style="1" customWidth="1"/>
    <col min="14" max="16384" width="9.140625" style="1"/>
  </cols>
  <sheetData>
    <row r="1" spans="1:13" x14ac:dyDescent="0.2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118"/>
    </row>
    <row r="2" spans="1:13" ht="12.7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3" ht="16.5" customHeight="1" x14ac:dyDescent="0.2">
      <c r="A3" s="342" t="s">
        <v>142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3" ht="20.25" customHeight="1" x14ac:dyDescent="0.2">
      <c r="A4" s="342" t="s">
        <v>217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</row>
    <row r="5" spans="1:13" ht="12.75" customHeight="1" x14ac:dyDescent="0.2">
      <c r="A5" s="259" t="s">
        <v>101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x14ac:dyDescent="0.2">
      <c r="A6" s="29"/>
      <c r="B6" s="29"/>
      <c r="C6" s="122"/>
      <c r="D6" s="122"/>
      <c r="E6" s="29"/>
      <c r="F6" s="29"/>
      <c r="G6" s="29"/>
      <c r="H6" s="29"/>
      <c r="I6" s="29"/>
      <c r="J6" s="122"/>
      <c r="K6" s="29"/>
      <c r="L6" s="29"/>
      <c r="M6" s="29"/>
    </row>
    <row r="7" spans="1:13" x14ac:dyDescent="0.2">
      <c r="A7" s="266" t="s">
        <v>203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32"/>
    </row>
    <row r="8" spans="1:13" x14ac:dyDescent="0.2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5.75" customHeight="1" x14ac:dyDescent="0.2">
      <c r="A9" s="248" t="s">
        <v>16</v>
      </c>
      <c r="B9" s="248" t="s">
        <v>176</v>
      </c>
      <c r="C9" s="264" t="s">
        <v>128</v>
      </c>
      <c r="D9" s="264" t="s">
        <v>140</v>
      </c>
      <c r="E9" s="248" t="s">
        <v>17</v>
      </c>
      <c r="F9" s="248"/>
      <c r="G9" s="249" t="s">
        <v>18</v>
      </c>
      <c r="H9" s="249"/>
      <c r="I9" s="249" t="s">
        <v>55</v>
      </c>
      <c r="J9" s="250" t="s">
        <v>145</v>
      </c>
      <c r="K9" s="250" t="s">
        <v>144</v>
      </c>
      <c r="L9" s="249" t="s">
        <v>62</v>
      </c>
      <c r="M9" s="249" t="s">
        <v>63</v>
      </c>
    </row>
    <row r="10" spans="1:13" ht="60" x14ac:dyDescent="0.2">
      <c r="A10" s="248"/>
      <c r="B10" s="248"/>
      <c r="C10" s="265"/>
      <c r="D10" s="265"/>
      <c r="E10" s="31" t="s">
        <v>19</v>
      </c>
      <c r="F10" s="31" t="s">
        <v>20</v>
      </c>
      <c r="G10" s="32" t="s">
        <v>21</v>
      </c>
      <c r="H10" s="33" t="s">
        <v>22</v>
      </c>
      <c r="I10" s="249"/>
      <c r="J10" s="251"/>
      <c r="K10" s="251"/>
      <c r="L10" s="249"/>
      <c r="M10" s="249"/>
    </row>
    <row r="11" spans="1:13" x14ac:dyDescent="0.2">
      <c r="A11" s="34" t="s">
        <v>23</v>
      </c>
      <c r="B11" s="248"/>
      <c r="C11" s="260">
        <f t="shared" ref="C11:D11" si="0">SUM(C13:C36)</f>
        <v>0</v>
      </c>
      <c r="D11" s="260">
        <f t="shared" si="0"/>
        <v>416772.09542122309</v>
      </c>
      <c r="E11" s="260">
        <f>SUM(E13:E36)</f>
        <v>3669958.2181646205</v>
      </c>
      <c r="F11" s="260">
        <f t="shared" ref="F11:H11" si="1">SUM(F13:F36)</f>
        <v>3881254.888888889</v>
      </c>
      <c r="G11" s="260">
        <f t="shared" si="1"/>
        <v>3196983.65</v>
      </c>
      <c r="H11" s="260">
        <f t="shared" si="1"/>
        <v>3788271.8888888899</v>
      </c>
      <c r="I11" s="260">
        <f>E11-F11</f>
        <v>-211296.67072426854</v>
      </c>
      <c r="J11" s="260">
        <f>SUM(J13:J36)</f>
        <v>889746.66358584363</v>
      </c>
      <c r="K11" s="260">
        <f t="shared" ref="K11" si="2">SUM(K13:K36)</f>
        <v>0</v>
      </c>
      <c r="L11" s="263"/>
      <c r="M11" s="263"/>
    </row>
    <row r="12" spans="1:13" x14ac:dyDescent="0.2">
      <c r="A12" s="35" t="s">
        <v>24</v>
      </c>
      <c r="B12" s="248"/>
      <c r="C12" s="260"/>
      <c r="D12" s="260"/>
      <c r="E12" s="260"/>
      <c r="F12" s="260"/>
      <c r="G12" s="260"/>
      <c r="H12" s="260"/>
      <c r="I12" s="260"/>
      <c r="J12" s="260"/>
      <c r="K12" s="260"/>
      <c r="L12" s="263"/>
      <c r="M12" s="263"/>
    </row>
    <row r="13" spans="1:13" ht="89.25" x14ac:dyDescent="0.2">
      <c r="A13" s="273" t="s">
        <v>25</v>
      </c>
      <c r="B13" s="330">
        <v>8.8800000000000008</v>
      </c>
      <c r="C13" s="270"/>
      <c r="D13" s="267">
        <v>107584.74261446472</v>
      </c>
      <c r="E13" s="255">
        <v>1033796.1070354185</v>
      </c>
      <c r="F13" s="252">
        <v>1257256.888888889</v>
      </c>
      <c r="G13" s="255">
        <v>890746.76</v>
      </c>
      <c r="H13" s="252">
        <v>1164273.8888888899</v>
      </c>
      <c r="I13" s="252">
        <v>-223460.78185347049</v>
      </c>
      <c r="J13" s="338">
        <v>250634.08964988322</v>
      </c>
      <c r="K13" s="339"/>
      <c r="L13" s="36" t="s">
        <v>64</v>
      </c>
      <c r="M13" s="36" t="s">
        <v>65</v>
      </c>
    </row>
    <row r="14" spans="1:13" ht="25.5" x14ac:dyDescent="0.2">
      <c r="A14" s="273"/>
      <c r="B14" s="330"/>
      <c r="C14" s="275"/>
      <c r="D14" s="268"/>
      <c r="E14" s="255"/>
      <c r="F14" s="252"/>
      <c r="G14" s="255"/>
      <c r="H14" s="252"/>
      <c r="I14" s="252"/>
      <c r="J14" s="338"/>
      <c r="K14" s="340"/>
      <c r="L14" s="37" t="s">
        <v>66</v>
      </c>
      <c r="M14" s="36" t="s">
        <v>67</v>
      </c>
    </row>
    <row r="15" spans="1:13" ht="25.5" x14ac:dyDescent="0.2">
      <c r="A15" s="273"/>
      <c r="B15" s="330"/>
      <c r="C15" s="274"/>
      <c r="D15" s="269"/>
      <c r="E15" s="255"/>
      <c r="F15" s="252"/>
      <c r="G15" s="255"/>
      <c r="H15" s="252"/>
      <c r="I15" s="252"/>
      <c r="J15" s="338"/>
      <c r="K15" s="341"/>
      <c r="L15" s="36" t="s">
        <v>68</v>
      </c>
      <c r="M15" s="36" t="s">
        <v>69</v>
      </c>
    </row>
    <row r="16" spans="1:13" ht="25.5" x14ac:dyDescent="0.2">
      <c r="A16" s="38" t="s">
        <v>26</v>
      </c>
      <c r="B16" s="39">
        <v>5.08</v>
      </c>
      <c r="C16" s="147"/>
      <c r="D16" s="186">
        <v>72951.262173856841</v>
      </c>
      <c r="E16" s="185">
        <v>629315.59165058855</v>
      </c>
      <c r="F16" s="186">
        <v>363438</v>
      </c>
      <c r="G16" s="185">
        <v>549695.24</v>
      </c>
      <c r="H16" s="179">
        <v>363438</v>
      </c>
      <c r="I16" s="186">
        <v>265877.59165058855</v>
      </c>
      <c r="J16" s="183">
        <v>152571.61382444543</v>
      </c>
      <c r="K16" s="158"/>
      <c r="L16" s="36" t="s">
        <v>14</v>
      </c>
      <c r="M16" s="36" t="s">
        <v>65</v>
      </c>
    </row>
    <row r="17" spans="1:13" ht="25.5" x14ac:dyDescent="0.2">
      <c r="A17" s="67" t="s">
        <v>56</v>
      </c>
      <c r="B17" s="39">
        <v>1.25</v>
      </c>
      <c r="C17" s="147"/>
      <c r="D17" s="186">
        <v>21349.545736422719</v>
      </c>
      <c r="E17" s="185">
        <v>154856.93326892814</v>
      </c>
      <c r="F17" s="186">
        <v>103157.66666666667</v>
      </c>
      <c r="G17" s="185">
        <v>138662.88</v>
      </c>
      <c r="H17" s="179">
        <v>103157.66666666667</v>
      </c>
      <c r="I17" s="186">
        <v>51699.266602261472</v>
      </c>
      <c r="J17" s="183">
        <v>37543.599005350858</v>
      </c>
      <c r="K17" s="158"/>
      <c r="L17" s="36" t="s">
        <v>70</v>
      </c>
      <c r="M17" s="36" t="s">
        <v>71</v>
      </c>
    </row>
    <row r="18" spans="1:13" ht="51" x14ac:dyDescent="0.2">
      <c r="A18" s="67" t="s">
        <v>2</v>
      </c>
      <c r="B18" s="39">
        <v>1.82</v>
      </c>
      <c r="C18" s="147"/>
      <c r="D18" s="186">
        <v>23442.55241227735</v>
      </c>
      <c r="E18" s="185">
        <v>206208.0753741427</v>
      </c>
      <c r="F18" s="186">
        <v>207526.66666666666</v>
      </c>
      <c r="G18" s="185">
        <v>179657.43</v>
      </c>
      <c r="H18" s="186">
        <v>207526.66666666666</v>
      </c>
      <c r="I18" s="186">
        <v>-1318.5912925239536</v>
      </c>
      <c r="J18" s="183">
        <v>49993.197786420067</v>
      </c>
      <c r="K18" s="158"/>
      <c r="L18" s="36" t="s">
        <v>72</v>
      </c>
      <c r="M18" s="36" t="s">
        <v>65</v>
      </c>
    </row>
    <row r="19" spans="1:13" ht="51" x14ac:dyDescent="0.2">
      <c r="A19" s="68" t="s">
        <v>28</v>
      </c>
      <c r="B19" s="39">
        <v>1.29</v>
      </c>
      <c r="C19" s="147"/>
      <c r="D19" s="186">
        <v>19874.100498337386</v>
      </c>
      <c r="E19" s="185">
        <v>159807.98391445787</v>
      </c>
      <c r="F19" s="186">
        <v>101338.33333333333</v>
      </c>
      <c r="G19" s="185">
        <v>140938.15</v>
      </c>
      <c r="H19" s="186">
        <v>101338.33333333333</v>
      </c>
      <c r="I19" s="186">
        <v>58469.650581124544</v>
      </c>
      <c r="J19" s="183">
        <v>38743.934412795272</v>
      </c>
      <c r="K19" s="158"/>
      <c r="L19" s="36" t="s">
        <v>73</v>
      </c>
      <c r="M19" s="36" t="s">
        <v>65</v>
      </c>
    </row>
    <row r="20" spans="1:13" x14ac:dyDescent="0.2">
      <c r="A20" s="253" t="s">
        <v>29</v>
      </c>
      <c r="B20" s="330"/>
      <c r="C20" s="270"/>
      <c r="D20" s="267">
        <v>0</v>
      </c>
      <c r="E20" s="255"/>
      <c r="F20" s="252"/>
      <c r="G20" s="255"/>
      <c r="H20" s="252"/>
      <c r="I20" s="252"/>
      <c r="J20" s="338">
        <v>0</v>
      </c>
      <c r="K20" s="339"/>
      <c r="L20" s="318"/>
      <c r="M20" s="42"/>
    </row>
    <row r="21" spans="1:13" x14ac:dyDescent="0.2">
      <c r="A21" s="253"/>
      <c r="B21" s="330"/>
      <c r="C21" s="274"/>
      <c r="D21" s="269"/>
      <c r="E21" s="255"/>
      <c r="F21" s="252"/>
      <c r="G21" s="255"/>
      <c r="H21" s="252"/>
      <c r="I21" s="252"/>
      <c r="J21" s="338"/>
      <c r="K21" s="341"/>
      <c r="L21" s="320"/>
      <c r="M21" s="36"/>
    </row>
    <row r="22" spans="1:13" x14ac:dyDescent="0.2">
      <c r="A22" s="253" t="s">
        <v>57</v>
      </c>
      <c r="B22" s="330">
        <v>0.53</v>
      </c>
      <c r="C22" s="270"/>
      <c r="D22" s="267">
        <v>9500.0925845210659</v>
      </c>
      <c r="E22" s="255">
        <v>63727.562207957308</v>
      </c>
      <c r="F22" s="252">
        <v>95088.666666666672</v>
      </c>
      <c r="G22" s="255">
        <v>57777.51</v>
      </c>
      <c r="H22" s="252">
        <v>95088.666666666672</v>
      </c>
      <c r="I22" s="252">
        <v>-31361.104458709364</v>
      </c>
      <c r="J22" s="338">
        <v>15450.14479247837</v>
      </c>
      <c r="K22" s="339"/>
      <c r="L22" s="42" t="s">
        <v>74</v>
      </c>
      <c r="M22" s="42" t="s">
        <v>75</v>
      </c>
    </row>
    <row r="23" spans="1:13" ht="38.25" x14ac:dyDescent="0.2">
      <c r="A23" s="253"/>
      <c r="B23" s="330"/>
      <c r="C23" s="274"/>
      <c r="D23" s="269"/>
      <c r="E23" s="255"/>
      <c r="F23" s="252"/>
      <c r="G23" s="255"/>
      <c r="H23" s="252"/>
      <c r="I23" s="252"/>
      <c r="J23" s="338"/>
      <c r="K23" s="341"/>
      <c r="L23" s="36" t="s">
        <v>76</v>
      </c>
      <c r="M23" s="36" t="s">
        <v>65</v>
      </c>
    </row>
    <row r="24" spans="1:13" x14ac:dyDescent="0.2">
      <c r="A24" s="253" t="s">
        <v>58</v>
      </c>
      <c r="B24" s="330">
        <v>0.41</v>
      </c>
      <c r="C24" s="270"/>
      <c r="D24" s="267">
        <v>8149.0558866274077</v>
      </c>
      <c r="E24" s="255">
        <v>50792.586328606238</v>
      </c>
      <c r="F24" s="252">
        <v>40853.333333333336</v>
      </c>
      <c r="G24" s="255">
        <v>46627.46</v>
      </c>
      <c r="H24" s="252">
        <v>40853.333333333336</v>
      </c>
      <c r="I24" s="252">
        <v>9939.2529952729019</v>
      </c>
      <c r="J24" s="338">
        <v>12314.182215233646</v>
      </c>
      <c r="K24" s="337"/>
      <c r="L24" s="42" t="s">
        <v>77</v>
      </c>
      <c r="M24" s="42" t="s">
        <v>78</v>
      </c>
    </row>
    <row r="25" spans="1:13" ht="51" x14ac:dyDescent="0.2">
      <c r="A25" s="253"/>
      <c r="B25" s="330"/>
      <c r="C25" s="274"/>
      <c r="D25" s="269"/>
      <c r="E25" s="255"/>
      <c r="F25" s="252"/>
      <c r="G25" s="255"/>
      <c r="H25" s="252"/>
      <c r="I25" s="252"/>
      <c r="J25" s="338"/>
      <c r="K25" s="337"/>
      <c r="L25" s="36" t="s">
        <v>79</v>
      </c>
      <c r="M25" s="36" t="s">
        <v>65</v>
      </c>
    </row>
    <row r="26" spans="1:13" ht="38.25" x14ac:dyDescent="0.2">
      <c r="A26" s="253" t="s">
        <v>59</v>
      </c>
      <c r="B26" s="330">
        <v>1.85</v>
      </c>
      <c r="C26" s="270"/>
      <c r="D26" s="267">
        <v>35159.228933533421</v>
      </c>
      <c r="E26" s="255">
        <v>244986.22435160304</v>
      </c>
      <c r="F26" s="252">
        <v>341394.66666666669</v>
      </c>
      <c r="G26" s="255">
        <v>220750.86</v>
      </c>
      <c r="H26" s="252">
        <v>341394.66666666669</v>
      </c>
      <c r="I26" s="252">
        <v>-96408.442315063643</v>
      </c>
      <c r="J26" s="338">
        <v>59394.593285136463</v>
      </c>
      <c r="K26" s="337"/>
      <c r="L26" s="42" t="s">
        <v>80</v>
      </c>
      <c r="M26" s="42" t="s">
        <v>81</v>
      </c>
    </row>
    <row r="27" spans="1:13" x14ac:dyDescent="0.2">
      <c r="A27" s="253"/>
      <c r="B27" s="330"/>
      <c r="C27" s="275"/>
      <c r="D27" s="268"/>
      <c r="E27" s="255"/>
      <c r="F27" s="252"/>
      <c r="G27" s="255"/>
      <c r="H27" s="252"/>
      <c r="I27" s="252"/>
      <c r="J27" s="338"/>
      <c r="K27" s="337"/>
      <c r="L27" s="42" t="s">
        <v>82</v>
      </c>
      <c r="M27" s="36" t="s">
        <v>69</v>
      </c>
    </row>
    <row r="28" spans="1:13" ht="38.25" x14ac:dyDescent="0.2">
      <c r="A28" s="253"/>
      <c r="B28" s="330"/>
      <c r="C28" s="274"/>
      <c r="D28" s="269"/>
      <c r="E28" s="255"/>
      <c r="F28" s="252"/>
      <c r="G28" s="255"/>
      <c r="H28" s="252"/>
      <c r="I28" s="252"/>
      <c r="J28" s="338"/>
      <c r="K28" s="337"/>
      <c r="L28" s="36" t="s">
        <v>83</v>
      </c>
      <c r="M28" s="36" t="s">
        <v>65</v>
      </c>
    </row>
    <row r="29" spans="1:13" x14ac:dyDescent="0.2">
      <c r="A29" s="253" t="s">
        <v>33</v>
      </c>
      <c r="B29" s="330">
        <v>5.77</v>
      </c>
      <c r="C29" s="270"/>
      <c r="D29" s="267">
        <v>85613.498616331955</v>
      </c>
      <c r="E29" s="255">
        <v>714794.95959745569</v>
      </c>
      <c r="F29" s="252">
        <v>959390</v>
      </c>
      <c r="G29" s="255">
        <v>627113.18000000005</v>
      </c>
      <c r="H29" s="252">
        <v>959390</v>
      </c>
      <c r="I29" s="252">
        <v>-244595.04040254431</v>
      </c>
      <c r="J29" s="338">
        <v>173295.27821378756</v>
      </c>
      <c r="K29" s="337"/>
      <c r="L29" s="318" t="s">
        <v>84</v>
      </c>
      <c r="M29" s="333" t="s">
        <v>85</v>
      </c>
    </row>
    <row r="30" spans="1:13" x14ac:dyDescent="0.2">
      <c r="A30" s="253"/>
      <c r="B30" s="330"/>
      <c r="C30" s="275"/>
      <c r="D30" s="268"/>
      <c r="E30" s="255"/>
      <c r="F30" s="252"/>
      <c r="G30" s="255"/>
      <c r="H30" s="252"/>
      <c r="I30" s="252"/>
      <c r="J30" s="338"/>
      <c r="K30" s="337"/>
      <c r="L30" s="319"/>
      <c r="M30" s="334"/>
    </row>
    <row r="31" spans="1:13" x14ac:dyDescent="0.2">
      <c r="A31" s="253"/>
      <c r="B31" s="330"/>
      <c r="C31" s="274"/>
      <c r="D31" s="269"/>
      <c r="E31" s="255"/>
      <c r="F31" s="252"/>
      <c r="G31" s="255"/>
      <c r="H31" s="252"/>
      <c r="I31" s="252"/>
      <c r="J31" s="338"/>
      <c r="K31" s="337"/>
      <c r="L31" s="320"/>
      <c r="M31" s="335"/>
    </row>
    <row r="32" spans="1:13" ht="25.5" x14ac:dyDescent="0.2">
      <c r="A32" s="253" t="s">
        <v>60</v>
      </c>
      <c r="B32" s="330">
        <v>125</v>
      </c>
      <c r="C32" s="270"/>
      <c r="D32" s="267">
        <v>15373.904429142742</v>
      </c>
      <c r="E32" s="255">
        <v>205965.17428540217</v>
      </c>
      <c r="F32" s="252">
        <v>180339</v>
      </c>
      <c r="G32" s="255">
        <v>171404.77</v>
      </c>
      <c r="H32" s="252">
        <v>180339</v>
      </c>
      <c r="I32" s="252">
        <v>25626.174285402172</v>
      </c>
      <c r="J32" s="338">
        <v>49934.308714544924</v>
      </c>
      <c r="K32" s="337"/>
      <c r="L32" s="42" t="s">
        <v>86</v>
      </c>
      <c r="M32" s="42" t="s">
        <v>87</v>
      </c>
    </row>
    <row r="33" spans="1:13" ht="38.25" x14ac:dyDescent="0.2">
      <c r="A33" s="253"/>
      <c r="B33" s="330"/>
      <c r="C33" s="274"/>
      <c r="D33" s="269"/>
      <c r="E33" s="255"/>
      <c r="F33" s="252"/>
      <c r="G33" s="255"/>
      <c r="H33" s="252"/>
      <c r="I33" s="252"/>
      <c r="J33" s="338"/>
      <c r="K33" s="337"/>
      <c r="L33" s="36" t="s">
        <v>76</v>
      </c>
      <c r="M33" s="36" t="s">
        <v>65</v>
      </c>
    </row>
    <row r="34" spans="1:13" x14ac:dyDescent="0.2">
      <c r="A34" s="253" t="s">
        <v>35</v>
      </c>
      <c r="B34" s="330">
        <v>1.77</v>
      </c>
      <c r="C34" s="270"/>
      <c r="D34" s="267">
        <v>17774.111535707518</v>
      </c>
      <c r="E34" s="255">
        <v>205707.02015006018</v>
      </c>
      <c r="F34" s="252">
        <v>231471.66666666666</v>
      </c>
      <c r="G34" s="255">
        <v>173609.41</v>
      </c>
      <c r="H34" s="252">
        <v>231471.66666666666</v>
      </c>
      <c r="I34" s="252">
        <v>-25764.646516606474</v>
      </c>
      <c r="J34" s="338">
        <v>49871.721685767712</v>
      </c>
      <c r="K34" s="337"/>
      <c r="L34" s="42" t="s">
        <v>88</v>
      </c>
      <c r="M34" s="42" t="s">
        <v>89</v>
      </c>
    </row>
    <row r="35" spans="1:13" ht="38.25" x14ac:dyDescent="0.2">
      <c r="A35" s="253"/>
      <c r="B35" s="330"/>
      <c r="C35" s="274"/>
      <c r="D35" s="269"/>
      <c r="E35" s="255"/>
      <c r="F35" s="252"/>
      <c r="G35" s="255"/>
      <c r="H35" s="252"/>
      <c r="I35" s="252"/>
      <c r="J35" s="338"/>
      <c r="K35" s="337"/>
      <c r="L35" s="36" t="s">
        <v>76</v>
      </c>
      <c r="M35" s="36" t="s">
        <v>65</v>
      </c>
    </row>
    <row r="36" spans="1:13" x14ac:dyDescent="0.2">
      <c r="A36" s="38"/>
      <c r="B36" s="39"/>
      <c r="C36" s="147"/>
      <c r="D36" s="187"/>
      <c r="E36" s="185"/>
      <c r="F36" s="186"/>
      <c r="G36" s="185"/>
      <c r="H36" s="186"/>
      <c r="I36" s="186"/>
      <c r="J36" s="182"/>
      <c r="K36" s="184"/>
      <c r="L36" s="43"/>
      <c r="M36" s="36"/>
    </row>
    <row r="37" spans="1:13" x14ac:dyDescent="0.2">
      <c r="A37" s="44" t="s">
        <v>40</v>
      </c>
      <c r="B37" s="249"/>
      <c r="C37" s="336"/>
      <c r="D37" s="336">
        <v>509314.2084851542</v>
      </c>
      <c r="E37" s="336">
        <v>3608448.5470228442</v>
      </c>
      <c r="F37" s="336">
        <v>3608448.5470228447</v>
      </c>
      <c r="G37" s="336">
        <v>3242928.5300000003</v>
      </c>
      <c r="H37" s="336">
        <v>2693684.8550303886</v>
      </c>
      <c r="I37" s="336">
        <v>0</v>
      </c>
      <c r="J37" s="336">
        <v>874834.22550799884</v>
      </c>
      <c r="K37" s="336">
        <v>5839392</v>
      </c>
      <c r="L37" s="249"/>
      <c r="M37" s="263"/>
    </row>
    <row r="38" spans="1:13" x14ac:dyDescent="0.2">
      <c r="A38" s="45" t="s">
        <v>24</v>
      </c>
      <c r="B38" s="249"/>
      <c r="C38" s="336"/>
      <c r="D38" s="336"/>
      <c r="E38" s="336"/>
      <c r="F38" s="336"/>
      <c r="G38" s="336"/>
      <c r="H38" s="336"/>
      <c r="I38" s="336"/>
      <c r="J38" s="336"/>
      <c r="K38" s="336"/>
      <c r="L38" s="249"/>
      <c r="M38" s="263"/>
    </row>
    <row r="39" spans="1:13" x14ac:dyDescent="0.2">
      <c r="A39" s="46" t="s">
        <v>41</v>
      </c>
      <c r="B39" s="47" t="s">
        <v>42</v>
      </c>
      <c r="C39" s="41">
        <v>7870.9542363733663</v>
      </c>
      <c r="D39" s="186">
        <v>120184.71781789814</v>
      </c>
      <c r="E39" s="186">
        <v>664938.21388882201</v>
      </c>
      <c r="F39" s="252">
        <v>2347323.8780591423</v>
      </c>
      <c r="G39" s="187">
        <v>623914.94999999995</v>
      </c>
      <c r="H39" s="252">
        <v>1643126.7146413994</v>
      </c>
      <c r="I39" s="252">
        <v>0</v>
      </c>
      <c r="J39" s="183">
        <v>161207.98170672017</v>
      </c>
      <c r="K39" s="252">
        <v>5026405.666666667</v>
      </c>
      <c r="L39" s="263" t="s">
        <v>90</v>
      </c>
      <c r="M39" s="263" t="s">
        <v>91</v>
      </c>
    </row>
    <row r="40" spans="1:13" x14ac:dyDescent="0.2">
      <c r="A40" s="46" t="s">
        <v>43</v>
      </c>
      <c r="B40" s="48" t="s">
        <v>44</v>
      </c>
      <c r="C40" s="41">
        <v>1201.7040458359431</v>
      </c>
      <c r="D40" s="186">
        <v>157685.58996381937</v>
      </c>
      <c r="E40" s="186">
        <v>1682385.6641703204</v>
      </c>
      <c r="F40" s="252"/>
      <c r="G40" s="187">
        <v>1432192.76</v>
      </c>
      <c r="H40" s="252"/>
      <c r="I40" s="252"/>
      <c r="J40" s="183">
        <v>407878.49413413974</v>
      </c>
      <c r="K40" s="252"/>
      <c r="L40" s="263"/>
      <c r="M40" s="263"/>
    </row>
    <row r="41" spans="1:13" x14ac:dyDescent="0.2">
      <c r="A41" s="46" t="s">
        <v>45</v>
      </c>
      <c r="B41" s="47" t="s">
        <v>46</v>
      </c>
      <c r="C41" s="41">
        <v>12379.944815333587</v>
      </c>
      <c r="D41" s="186">
        <v>61899.520315518108</v>
      </c>
      <c r="E41" s="186">
        <v>259978.84112200534</v>
      </c>
      <c r="F41" s="252">
        <v>684868.29579379386</v>
      </c>
      <c r="G41" s="187">
        <v>258848.94999999998</v>
      </c>
      <c r="H41" s="252">
        <v>479407.80705565569</v>
      </c>
      <c r="I41" s="252">
        <v>0</v>
      </c>
      <c r="J41" s="183">
        <v>63029.411437523464</v>
      </c>
      <c r="K41" s="252">
        <v>762584</v>
      </c>
      <c r="L41" s="263" t="s">
        <v>92</v>
      </c>
      <c r="M41" s="263" t="s">
        <v>93</v>
      </c>
    </row>
    <row r="42" spans="1:13" x14ac:dyDescent="0.2">
      <c r="A42" s="49" t="s">
        <v>47</v>
      </c>
      <c r="B42" s="50" t="s">
        <v>46</v>
      </c>
      <c r="C42" s="41">
        <v>20250.899051706954</v>
      </c>
      <c r="D42" s="186">
        <v>90647.585478583991</v>
      </c>
      <c r="E42" s="186">
        <v>424889.45467178855</v>
      </c>
      <c r="F42" s="252"/>
      <c r="G42" s="187">
        <v>412526.61</v>
      </c>
      <c r="H42" s="252"/>
      <c r="I42" s="252"/>
      <c r="J42" s="183">
        <v>103010.43015037256</v>
      </c>
      <c r="K42" s="252"/>
      <c r="L42" s="263"/>
      <c r="M42" s="263"/>
    </row>
    <row r="43" spans="1:13" ht="38.25" x14ac:dyDescent="0.2">
      <c r="A43" s="49" t="s">
        <v>48</v>
      </c>
      <c r="B43" s="50" t="s">
        <v>94</v>
      </c>
      <c r="C43" s="41">
        <v>288128.18658495415</v>
      </c>
      <c r="D43" s="186">
        <v>78896.794909334567</v>
      </c>
      <c r="E43" s="185">
        <v>576256.3731699083</v>
      </c>
      <c r="F43" s="152">
        <v>576256.3731699083</v>
      </c>
      <c r="G43" s="187">
        <v>515445.26</v>
      </c>
      <c r="H43" s="152">
        <v>571150.33333333337</v>
      </c>
      <c r="I43" s="186">
        <v>0</v>
      </c>
      <c r="J43" s="183">
        <v>139707.90807924286</v>
      </c>
      <c r="K43" s="152">
        <v>50402.333333333336</v>
      </c>
      <c r="L43" s="50" t="s">
        <v>95</v>
      </c>
      <c r="M43" s="50" t="s">
        <v>96</v>
      </c>
    </row>
    <row r="44" spans="1:13" ht="120" x14ac:dyDescent="0.2">
      <c r="A44" s="69" t="s">
        <v>49</v>
      </c>
      <c r="B44" s="52">
        <f>'[3]Тарифы Нач Затр '!$E$29</f>
        <v>6.1</v>
      </c>
      <c r="C44" s="153"/>
      <c r="D44" s="202">
        <v>72979.542449686909</v>
      </c>
      <c r="E44" s="202">
        <v>709218.87735742819</v>
      </c>
      <c r="F44" s="202">
        <v>759065.77777777787</v>
      </c>
      <c r="G44" s="155">
        <v>610255.01</v>
      </c>
      <c r="H44" s="202">
        <v>759065.77777777787</v>
      </c>
      <c r="I44" s="202">
        <v>-49846.900420349673</v>
      </c>
      <c r="J44" s="211">
        <v>171943.40980711512</v>
      </c>
      <c r="K44" s="181"/>
      <c r="L44" s="54" t="s">
        <v>97</v>
      </c>
      <c r="M44" s="36" t="s">
        <v>65</v>
      </c>
    </row>
    <row r="45" spans="1:13" ht="25.5" x14ac:dyDescent="0.2">
      <c r="A45" s="34" t="s">
        <v>50</v>
      </c>
      <c r="B45" s="55">
        <v>2.3599999999999999E-2</v>
      </c>
      <c r="C45" s="147"/>
      <c r="D45" s="202">
        <v>16988.244859351194</v>
      </c>
      <c r="E45" s="203">
        <v>139363.45745510695</v>
      </c>
      <c r="F45" s="203">
        <v>139363.45745510695</v>
      </c>
      <c r="G45" s="203">
        <v>122564.35</v>
      </c>
      <c r="H45" s="202">
        <v>139363.45745510695</v>
      </c>
      <c r="I45" s="202">
        <v>0</v>
      </c>
      <c r="J45" s="211">
        <v>33787.352314458141</v>
      </c>
      <c r="K45" s="187"/>
      <c r="L45" s="56" t="s">
        <v>98</v>
      </c>
      <c r="M45" s="47" t="s">
        <v>99</v>
      </c>
    </row>
    <row r="46" spans="1:13" x14ac:dyDescent="0.2">
      <c r="A46" s="34" t="s">
        <v>100</v>
      </c>
      <c r="B46" s="55"/>
      <c r="C46" s="147"/>
      <c r="D46" s="202">
        <v>12849.348784584567</v>
      </c>
      <c r="E46" s="203">
        <v>53000</v>
      </c>
      <c r="F46" s="203">
        <v>53000</v>
      </c>
      <c r="G46" s="203">
        <v>53000</v>
      </c>
      <c r="H46" s="202">
        <v>53000</v>
      </c>
      <c r="I46" s="202">
        <v>0</v>
      </c>
      <c r="J46" s="211">
        <v>12849.348784584567</v>
      </c>
      <c r="K46" s="187"/>
      <c r="L46" s="56"/>
      <c r="M46" s="47"/>
    </row>
    <row r="47" spans="1:13" x14ac:dyDescent="0.2">
      <c r="A47" s="57" t="s">
        <v>51</v>
      </c>
      <c r="B47" s="46"/>
      <c r="C47" s="156"/>
      <c r="D47" s="153">
        <f>SUM(D11,D37,D44,D45,D46)</f>
        <v>1028903.44</v>
      </c>
      <c r="E47" s="153">
        <f>SUM(E11,E37,E44,E45,E46)</f>
        <v>8179989.0999999996</v>
      </c>
      <c r="F47" s="153">
        <f t="shared" ref="F47:I47" si="3">SUM(F11,F37,F44,F45,F46)</f>
        <v>8441132.6711446196</v>
      </c>
      <c r="G47" s="153">
        <f t="shared" si="3"/>
        <v>7225731.5399999991</v>
      </c>
      <c r="H47" s="153">
        <f t="shared" si="3"/>
        <v>7433385.9791521635</v>
      </c>
      <c r="I47" s="153">
        <f t="shared" si="3"/>
        <v>-261143.57114461821</v>
      </c>
      <c r="J47" s="157">
        <v>1983161</v>
      </c>
      <c r="K47" s="154"/>
      <c r="L47" s="47"/>
      <c r="M47" s="46"/>
    </row>
    <row r="48" spans="1:13" ht="13.5" customHeight="1" x14ac:dyDescent="0.2">
      <c r="A48" s="59"/>
      <c r="B48" s="60"/>
      <c r="C48" s="60"/>
      <c r="D48" s="60"/>
      <c r="E48" s="61"/>
      <c r="F48" s="61"/>
      <c r="G48" s="61"/>
      <c r="H48" s="61"/>
      <c r="I48" s="62"/>
      <c r="J48" s="160">
        <f>J11+J37+J45+J46+J44</f>
        <v>1983161.0000000002</v>
      </c>
      <c r="K48" s="63"/>
      <c r="L48" s="64"/>
      <c r="M48" s="65"/>
    </row>
    <row r="49" spans="1:14" x14ac:dyDescent="0.2">
      <c r="A49" s="145" t="s">
        <v>123</v>
      </c>
      <c r="B49" s="140">
        <v>312008.33333333331</v>
      </c>
      <c r="C49" s="1" t="s">
        <v>4</v>
      </c>
    </row>
    <row r="50" spans="1:14" x14ac:dyDescent="0.2">
      <c r="A50" s="145" t="s">
        <v>124</v>
      </c>
      <c r="B50" s="140">
        <v>104353.89418116864</v>
      </c>
      <c r="C50" s="1" t="s">
        <v>4</v>
      </c>
    </row>
    <row r="51" spans="1:14" ht="13.5" thickBot="1" x14ac:dyDescent="0.25">
      <c r="A51" s="117"/>
      <c r="B51" s="161">
        <f>313061/3</f>
        <v>104353.66666666667</v>
      </c>
    </row>
    <row r="52" spans="1:14" ht="27.75" customHeight="1" x14ac:dyDescent="0.2">
      <c r="A52" s="241" t="s">
        <v>197</v>
      </c>
      <c r="B52" s="242"/>
      <c r="C52" s="243"/>
      <c r="D52" s="4"/>
      <c r="E52" s="4"/>
      <c r="F52" s="4"/>
      <c r="G52" s="4"/>
      <c r="H52" s="4"/>
      <c r="I52" s="4"/>
      <c r="J52" s="4"/>
      <c r="K52" s="16"/>
      <c r="L52" s="4"/>
      <c r="M52" s="4"/>
      <c r="N52" s="4"/>
    </row>
    <row r="53" spans="1:14" ht="15" customHeight="1" x14ac:dyDescent="0.2">
      <c r="A53" s="225" t="s">
        <v>198</v>
      </c>
      <c r="B53" s="244" t="s">
        <v>199</v>
      </c>
      <c r="C53" s="245"/>
      <c r="D53" s="4"/>
      <c r="K53" s="117"/>
    </row>
    <row r="54" spans="1:14" ht="39" customHeight="1" thickBot="1" x14ac:dyDescent="0.25">
      <c r="A54" s="226" t="s">
        <v>216</v>
      </c>
      <c r="B54" s="246" t="s">
        <v>201</v>
      </c>
      <c r="C54" s="247"/>
      <c r="D54" s="4"/>
      <c r="K54" s="117"/>
    </row>
  </sheetData>
  <mergeCells count="146">
    <mergeCell ref="K24:K25"/>
    <mergeCell ref="K26:K28"/>
    <mergeCell ref="K29:K31"/>
    <mergeCell ref="L20:L21"/>
    <mergeCell ref="K22:K23"/>
    <mergeCell ref="C20:C21"/>
    <mergeCell ref="C22:C23"/>
    <mergeCell ref="C24:C25"/>
    <mergeCell ref="C26:C28"/>
    <mergeCell ref="C29:C31"/>
    <mergeCell ref="J29:J31"/>
    <mergeCell ref="H22:H23"/>
    <mergeCell ref="I22:I23"/>
    <mergeCell ref="H26:H28"/>
    <mergeCell ref="I26:I28"/>
    <mergeCell ref="H29:H31"/>
    <mergeCell ref="I29:I31"/>
    <mergeCell ref="H24:H25"/>
    <mergeCell ref="I24:I25"/>
    <mergeCell ref="C34:C35"/>
    <mergeCell ref="C9:C10"/>
    <mergeCell ref="D9:D10"/>
    <mergeCell ref="J9:J10"/>
    <mergeCell ref="C11:C12"/>
    <mergeCell ref="D11:D12"/>
    <mergeCell ref="J11:J12"/>
    <mergeCell ref="C37:C38"/>
    <mergeCell ref="D37:D38"/>
    <mergeCell ref="J37:J38"/>
    <mergeCell ref="D13:D15"/>
    <mergeCell ref="D20:D21"/>
    <mergeCell ref="D22:D23"/>
    <mergeCell ref="D24:D25"/>
    <mergeCell ref="D26:D28"/>
    <mergeCell ref="D29:D31"/>
    <mergeCell ref="D32:D33"/>
    <mergeCell ref="D34:D35"/>
    <mergeCell ref="J13:J15"/>
    <mergeCell ref="J20:J21"/>
    <mergeCell ref="J22:J23"/>
    <mergeCell ref="J24:J25"/>
    <mergeCell ref="J26:J28"/>
    <mergeCell ref="A9:A10"/>
    <mergeCell ref="B9:B10"/>
    <mergeCell ref="E9:F9"/>
    <mergeCell ref="G9:H9"/>
    <mergeCell ref="I9:I10"/>
    <mergeCell ref="A13:A15"/>
    <mergeCell ref="B13:B15"/>
    <mergeCell ref="A1:I1"/>
    <mergeCell ref="A3:M3"/>
    <mergeCell ref="A4:M4"/>
    <mergeCell ref="A5:M5"/>
    <mergeCell ref="K9:K10"/>
    <mergeCell ref="L9:L10"/>
    <mergeCell ref="M9:M10"/>
    <mergeCell ref="B11:B12"/>
    <mergeCell ref="E11:E12"/>
    <mergeCell ref="F11:F12"/>
    <mergeCell ref="G11:G12"/>
    <mergeCell ref="H11:H12"/>
    <mergeCell ref="I11:I12"/>
    <mergeCell ref="K11:K12"/>
    <mergeCell ref="L11:L12"/>
    <mergeCell ref="M11:M12"/>
    <mergeCell ref="K13:K15"/>
    <mergeCell ref="A20:A21"/>
    <mergeCell ref="B20:B21"/>
    <mergeCell ref="E20:E21"/>
    <mergeCell ref="F20:F21"/>
    <mergeCell ref="G20:G21"/>
    <mergeCell ref="H20:H21"/>
    <mergeCell ref="I20:I21"/>
    <mergeCell ref="K20:K21"/>
    <mergeCell ref="E13:E15"/>
    <mergeCell ref="F13:F15"/>
    <mergeCell ref="G13:G15"/>
    <mergeCell ref="H13:H15"/>
    <mergeCell ref="I13:I15"/>
    <mergeCell ref="C13:C15"/>
    <mergeCell ref="F26:F28"/>
    <mergeCell ref="G26:G28"/>
    <mergeCell ref="A24:A25"/>
    <mergeCell ref="B24:B25"/>
    <mergeCell ref="E24:E25"/>
    <mergeCell ref="F24:F25"/>
    <mergeCell ref="G24:G25"/>
    <mergeCell ref="A22:A23"/>
    <mergeCell ref="B22:B23"/>
    <mergeCell ref="E22:E23"/>
    <mergeCell ref="F22:F23"/>
    <mergeCell ref="G22:G23"/>
    <mergeCell ref="M29:M31"/>
    <mergeCell ref="A32:A33"/>
    <mergeCell ref="B32:B33"/>
    <mergeCell ref="E32:E33"/>
    <mergeCell ref="F32:F33"/>
    <mergeCell ref="G32:G33"/>
    <mergeCell ref="H32:H33"/>
    <mergeCell ref="I32:I33"/>
    <mergeCell ref="K32:K33"/>
    <mergeCell ref="A29:A31"/>
    <mergeCell ref="B29:B31"/>
    <mergeCell ref="E29:E31"/>
    <mergeCell ref="F29:F31"/>
    <mergeCell ref="G29:G31"/>
    <mergeCell ref="J32:J33"/>
    <mergeCell ref="C32:C33"/>
    <mergeCell ref="M41:M42"/>
    <mergeCell ref="F41:F42"/>
    <mergeCell ref="H41:H42"/>
    <mergeCell ref="I41:I42"/>
    <mergeCell ref="L41:L42"/>
    <mergeCell ref="L37:L38"/>
    <mergeCell ref="M37:M38"/>
    <mergeCell ref="F39:F40"/>
    <mergeCell ref="H39:H40"/>
    <mergeCell ref="I39:I40"/>
    <mergeCell ref="L39:L40"/>
    <mergeCell ref="M39:M40"/>
    <mergeCell ref="K39:K40"/>
    <mergeCell ref="K41:K42"/>
    <mergeCell ref="A52:C52"/>
    <mergeCell ref="B53:C53"/>
    <mergeCell ref="B54:C54"/>
    <mergeCell ref="A7:L7"/>
    <mergeCell ref="B37:B38"/>
    <mergeCell ref="E37:E38"/>
    <mergeCell ref="F37:F38"/>
    <mergeCell ref="G37:G38"/>
    <mergeCell ref="H37:H38"/>
    <mergeCell ref="I37:I38"/>
    <mergeCell ref="K37:K38"/>
    <mergeCell ref="A34:A35"/>
    <mergeCell ref="B34:B35"/>
    <mergeCell ref="E34:E35"/>
    <mergeCell ref="F34:F35"/>
    <mergeCell ref="G34:G35"/>
    <mergeCell ref="L29:L31"/>
    <mergeCell ref="H34:H35"/>
    <mergeCell ref="I34:I35"/>
    <mergeCell ref="K34:K35"/>
    <mergeCell ref="J34:J35"/>
    <mergeCell ref="A26:A28"/>
    <mergeCell ref="B26:B28"/>
    <mergeCell ref="E26:E28"/>
  </mergeCells>
  <phoneticPr fontId="25" type="noConversion"/>
  <hyperlinks>
    <hyperlink ref="A1:I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8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"/>
  <sheetViews>
    <sheetView workbookViewId="0">
      <selection activeCell="D19" sqref="D19"/>
    </sheetView>
  </sheetViews>
  <sheetFormatPr defaultRowHeight="12.75" x14ac:dyDescent="0.2"/>
  <cols>
    <col min="1" max="1" width="41.28515625" style="16" customWidth="1"/>
    <col min="2" max="2" width="17.5703125" style="1" customWidth="1"/>
    <col min="3" max="3" width="15.85546875" style="1" customWidth="1"/>
    <col min="4" max="4" width="20.28515625" style="1" customWidth="1"/>
    <col min="5" max="5" width="18.140625" style="1" customWidth="1"/>
    <col min="6" max="6" width="16.42578125" style="1" customWidth="1"/>
    <col min="7" max="7" width="15.140625" style="1" customWidth="1"/>
    <col min="8" max="8" width="14.42578125" style="1" customWidth="1"/>
    <col min="9" max="9" width="14.5703125" style="1" customWidth="1"/>
    <col min="10" max="10" width="19.85546875" style="1" customWidth="1"/>
    <col min="11" max="11" width="21" style="2" customWidth="1"/>
    <col min="12" max="12" width="48.28515625" style="1" customWidth="1"/>
    <col min="13" max="13" width="39.140625" style="1" customWidth="1"/>
    <col min="14" max="16384" width="9.140625" style="1"/>
  </cols>
  <sheetData>
    <row r="1" spans="1:13" x14ac:dyDescent="0.2">
      <c r="A1" s="256" t="s">
        <v>1</v>
      </c>
      <c r="B1" s="257"/>
      <c r="C1" s="257"/>
      <c r="D1" s="257"/>
      <c r="E1" s="257"/>
      <c r="F1" s="257"/>
      <c r="G1" s="257"/>
      <c r="H1" s="257"/>
      <c r="I1" s="257"/>
      <c r="J1" s="118"/>
    </row>
    <row r="2" spans="1:13" ht="12.75" customHeight="1" x14ac:dyDescent="0.2">
      <c r="A2" s="15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x14ac:dyDescent="0.2">
      <c r="A3" s="258" t="s">
        <v>142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x14ac:dyDescent="0.2">
      <c r="A4" s="258" t="s">
        <v>217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3" ht="12.75" customHeight="1" x14ac:dyDescent="0.2">
      <c r="A5" s="259" t="s">
        <v>122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x14ac:dyDescent="0.2">
      <c r="A6" s="29"/>
      <c r="B6" s="29"/>
      <c r="C6" s="122"/>
      <c r="D6" s="122"/>
      <c r="E6" s="29"/>
      <c r="F6" s="29"/>
      <c r="G6" s="29"/>
      <c r="H6" s="29"/>
      <c r="I6" s="29"/>
      <c r="J6" s="122"/>
      <c r="K6" s="29"/>
      <c r="L6" s="29"/>
      <c r="M6" s="29"/>
    </row>
    <row r="7" spans="1:13" x14ac:dyDescent="0.2">
      <c r="A7" s="266" t="s">
        <v>203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32"/>
    </row>
    <row r="8" spans="1:13" x14ac:dyDescent="0.2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9.5" customHeight="1" x14ac:dyDescent="0.2">
      <c r="A9" s="248" t="s">
        <v>16</v>
      </c>
      <c r="B9" s="248" t="s">
        <v>177</v>
      </c>
      <c r="C9" s="264" t="s">
        <v>128</v>
      </c>
      <c r="D9" s="264" t="s">
        <v>140</v>
      </c>
      <c r="E9" s="248" t="s">
        <v>17</v>
      </c>
      <c r="F9" s="248"/>
      <c r="G9" s="249" t="s">
        <v>18</v>
      </c>
      <c r="H9" s="249"/>
      <c r="I9" s="249" t="s">
        <v>55</v>
      </c>
      <c r="J9" s="250" t="s">
        <v>145</v>
      </c>
      <c r="K9" s="250" t="s">
        <v>144</v>
      </c>
      <c r="L9" s="249" t="s">
        <v>62</v>
      </c>
      <c r="M9" s="249" t="s">
        <v>63</v>
      </c>
    </row>
    <row r="10" spans="1:13" ht="60" x14ac:dyDescent="0.2">
      <c r="A10" s="248"/>
      <c r="B10" s="248"/>
      <c r="C10" s="265"/>
      <c r="D10" s="265"/>
      <c r="E10" s="31" t="s">
        <v>19</v>
      </c>
      <c r="F10" s="31" t="s">
        <v>20</v>
      </c>
      <c r="G10" s="32" t="s">
        <v>21</v>
      </c>
      <c r="H10" s="33" t="s">
        <v>22</v>
      </c>
      <c r="I10" s="249"/>
      <c r="J10" s="251"/>
      <c r="K10" s="251"/>
      <c r="L10" s="249"/>
      <c r="M10" s="249"/>
    </row>
    <row r="11" spans="1:13" x14ac:dyDescent="0.2">
      <c r="A11" s="34" t="s">
        <v>23</v>
      </c>
      <c r="B11" s="260"/>
      <c r="C11" s="261"/>
      <c r="D11" s="260">
        <f>J11-E11+G11</f>
        <v>598442.59686343605</v>
      </c>
      <c r="E11" s="260">
        <f>SUM(E13:E36)</f>
        <v>3707048.8454173626</v>
      </c>
      <c r="F11" s="260">
        <f t="shared" ref="F11:H11" si="0">SUM(F13:F36)</f>
        <v>3860051.888888889</v>
      </c>
      <c r="G11" s="260">
        <f t="shared" si="0"/>
        <v>3267853.08</v>
      </c>
      <c r="H11" s="260">
        <f t="shared" si="0"/>
        <v>3888180.8888888895</v>
      </c>
      <c r="I11" s="260">
        <f>E11-F11</f>
        <v>-153003.04347152635</v>
      </c>
      <c r="J11" s="260">
        <f>SUM(J13:J36)</f>
        <v>1037638.3622807987</v>
      </c>
      <c r="K11" s="276"/>
      <c r="L11" s="263"/>
      <c r="M11" s="263"/>
    </row>
    <row r="12" spans="1:13" x14ac:dyDescent="0.2">
      <c r="A12" s="35" t="s">
        <v>24</v>
      </c>
      <c r="B12" s="260"/>
      <c r="C12" s="272"/>
      <c r="D12" s="260"/>
      <c r="E12" s="260"/>
      <c r="F12" s="260"/>
      <c r="G12" s="260"/>
      <c r="H12" s="260"/>
      <c r="I12" s="260"/>
      <c r="J12" s="260"/>
      <c r="K12" s="343"/>
      <c r="L12" s="263"/>
      <c r="M12" s="263"/>
    </row>
    <row r="13" spans="1:13" ht="76.5" x14ac:dyDescent="0.2">
      <c r="A13" s="273" t="s">
        <v>25</v>
      </c>
      <c r="B13" s="254">
        <v>8.8800000000000008</v>
      </c>
      <c r="C13" s="339"/>
      <c r="D13" s="339">
        <v>153881.74694270943</v>
      </c>
      <c r="E13" s="255">
        <v>1048482.6450630028</v>
      </c>
      <c r="F13" s="252">
        <v>1236053.888888889</v>
      </c>
      <c r="G13" s="255">
        <v>908884.09000000008</v>
      </c>
      <c r="H13" s="252">
        <v>1236053.888888889</v>
      </c>
      <c r="I13" s="252">
        <v>-187571.24382588617</v>
      </c>
      <c r="J13" s="252">
        <v>293480.30200571223</v>
      </c>
      <c r="K13" s="339"/>
      <c r="L13" s="36" t="s">
        <v>64</v>
      </c>
      <c r="M13" s="36" t="s">
        <v>65</v>
      </c>
    </row>
    <row r="14" spans="1:13" x14ac:dyDescent="0.2">
      <c r="A14" s="273"/>
      <c r="B14" s="254"/>
      <c r="C14" s="340"/>
      <c r="D14" s="340"/>
      <c r="E14" s="255"/>
      <c r="F14" s="252"/>
      <c r="G14" s="255"/>
      <c r="H14" s="252"/>
      <c r="I14" s="252"/>
      <c r="J14" s="252"/>
      <c r="K14" s="340"/>
      <c r="L14" s="37" t="s">
        <v>66</v>
      </c>
      <c r="M14" s="36" t="s">
        <v>67</v>
      </c>
    </row>
    <row r="15" spans="1:13" ht="25.5" x14ac:dyDescent="0.2">
      <c r="A15" s="273"/>
      <c r="B15" s="254"/>
      <c r="C15" s="341"/>
      <c r="D15" s="341"/>
      <c r="E15" s="255"/>
      <c r="F15" s="252"/>
      <c r="G15" s="255"/>
      <c r="H15" s="252"/>
      <c r="I15" s="252"/>
      <c r="J15" s="252"/>
      <c r="K15" s="341"/>
      <c r="L15" s="36" t="s">
        <v>68</v>
      </c>
      <c r="M15" s="36" t="s">
        <v>69</v>
      </c>
    </row>
    <row r="16" spans="1:13" ht="25.5" x14ac:dyDescent="0.2">
      <c r="A16" s="38" t="s">
        <v>26</v>
      </c>
      <c r="B16" s="147">
        <v>5.08</v>
      </c>
      <c r="C16" s="150"/>
      <c r="D16" s="179">
        <v>96933.991838196875</v>
      </c>
      <c r="E16" s="185">
        <v>635906.59496452019</v>
      </c>
      <c r="F16" s="186">
        <v>363438</v>
      </c>
      <c r="G16" s="185">
        <v>554844.26</v>
      </c>
      <c r="H16" s="179">
        <v>363438</v>
      </c>
      <c r="I16" s="186">
        <v>272468.59496452019</v>
      </c>
      <c r="J16" s="186">
        <v>177996.32680271709</v>
      </c>
      <c r="K16" s="179"/>
      <c r="L16" s="36" t="s">
        <v>14</v>
      </c>
      <c r="M16" s="36" t="s">
        <v>65</v>
      </c>
    </row>
    <row r="17" spans="1:13" ht="25.5" x14ac:dyDescent="0.2">
      <c r="A17" s="67" t="s">
        <v>56</v>
      </c>
      <c r="B17" s="147">
        <v>1.25</v>
      </c>
      <c r="C17" s="150"/>
      <c r="D17" s="179">
        <v>29113.625106015825</v>
      </c>
      <c r="E17" s="185">
        <v>156476.12656580989</v>
      </c>
      <c r="F17" s="186">
        <v>103157.66666666667</v>
      </c>
      <c r="G17" s="185">
        <v>141790.59</v>
      </c>
      <c r="H17" s="179">
        <v>103157.66666666667</v>
      </c>
      <c r="I17" s="186">
        <v>53318.459899143214</v>
      </c>
      <c r="J17" s="186">
        <v>43799.161671825721</v>
      </c>
      <c r="K17" s="179"/>
      <c r="L17" s="36" t="s">
        <v>70</v>
      </c>
      <c r="M17" s="36" t="s">
        <v>71</v>
      </c>
    </row>
    <row r="18" spans="1:13" ht="38.25" x14ac:dyDescent="0.2">
      <c r="A18" s="67" t="s">
        <v>2</v>
      </c>
      <c r="B18" s="147">
        <v>1.82</v>
      </c>
      <c r="C18" s="150"/>
      <c r="D18" s="179">
        <v>36125.796221721102</v>
      </c>
      <c r="E18" s="185">
        <v>204862.06020704727</v>
      </c>
      <c r="F18" s="186">
        <v>207526.66666666666</v>
      </c>
      <c r="G18" s="185">
        <v>183645.01</v>
      </c>
      <c r="H18" s="186">
        <v>207526.66666666666</v>
      </c>
      <c r="I18" s="186">
        <v>-2664.6064596193901</v>
      </c>
      <c r="J18" s="186">
        <v>57342.846428768375</v>
      </c>
      <c r="K18" s="179"/>
      <c r="L18" s="36" t="s">
        <v>72</v>
      </c>
      <c r="M18" s="36" t="s">
        <v>65</v>
      </c>
    </row>
    <row r="19" spans="1:13" ht="63.75" x14ac:dyDescent="0.2">
      <c r="A19" s="68" t="s">
        <v>28</v>
      </c>
      <c r="B19" s="147">
        <v>1.29</v>
      </c>
      <c r="C19" s="150"/>
      <c r="D19" s="179">
        <v>29267.390514543469</v>
      </c>
      <c r="E19" s="185">
        <v>161478.25452828768</v>
      </c>
      <c r="F19" s="186">
        <v>101338.33333333333</v>
      </c>
      <c r="G19" s="185">
        <v>145546.34</v>
      </c>
      <c r="H19" s="186">
        <v>101338.33333333333</v>
      </c>
      <c r="I19" s="186">
        <v>60139.921194954353</v>
      </c>
      <c r="J19" s="186">
        <v>45199.305042831154</v>
      </c>
      <c r="K19" s="179"/>
      <c r="L19" s="36" t="s">
        <v>73</v>
      </c>
      <c r="M19" s="36" t="s">
        <v>65</v>
      </c>
    </row>
    <row r="20" spans="1:13" x14ac:dyDescent="0.2">
      <c r="A20" s="253" t="s">
        <v>29</v>
      </c>
      <c r="B20" s="254"/>
      <c r="C20" s="339"/>
      <c r="D20" s="339"/>
      <c r="E20" s="255"/>
      <c r="F20" s="252"/>
      <c r="G20" s="255"/>
      <c r="H20" s="252"/>
      <c r="I20" s="252"/>
      <c r="J20" s="252"/>
      <c r="K20" s="339"/>
      <c r="L20" s="42"/>
      <c r="M20" s="42"/>
    </row>
    <row r="21" spans="1:13" x14ac:dyDescent="0.2">
      <c r="A21" s="253"/>
      <c r="B21" s="254"/>
      <c r="C21" s="341"/>
      <c r="D21" s="341"/>
      <c r="E21" s="255"/>
      <c r="F21" s="252"/>
      <c r="G21" s="255"/>
      <c r="H21" s="252"/>
      <c r="I21" s="252"/>
      <c r="J21" s="252"/>
      <c r="K21" s="341"/>
      <c r="L21" s="36"/>
      <c r="M21" s="36"/>
    </row>
    <row r="22" spans="1:13" x14ac:dyDescent="0.2">
      <c r="A22" s="253" t="s">
        <v>57</v>
      </c>
      <c r="B22" s="254">
        <v>0.53</v>
      </c>
      <c r="C22" s="339"/>
      <c r="D22" s="339">
        <v>16966.966653684969</v>
      </c>
      <c r="E22" s="255">
        <v>63317.314017435929</v>
      </c>
      <c r="F22" s="252">
        <v>95088.666666666672</v>
      </c>
      <c r="G22" s="255">
        <v>62561.16</v>
      </c>
      <c r="H22" s="252">
        <v>95088.666666666672</v>
      </c>
      <c r="I22" s="252">
        <v>-31771.352649230743</v>
      </c>
      <c r="J22" s="252">
        <v>17723.120671120891</v>
      </c>
      <c r="K22" s="339"/>
      <c r="L22" s="42" t="s">
        <v>74</v>
      </c>
      <c r="M22" s="42" t="s">
        <v>75</v>
      </c>
    </row>
    <row r="23" spans="1:13" ht="25.5" x14ac:dyDescent="0.2">
      <c r="A23" s="253"/>
      <c r="B23" s="254"/>
      <c r="C23" s="341"/>
      <c r="D23" s="341"/>
      <c r="E23" s="255"/>
      <c r="F23" s="252"/>
      <c r="G23" s="255"/>
      <c r="H23" s="252"/>
      <c r="I23" s="252"/>
      <c r="J23" s="252"/>
      <c r="K23" s="341"/>
      <c r="L23" s="36" t="s">
        <v>76</v>
      </c>
      <c r="M23" s="36" t="s">
        <v>65</v>
      </c>
    </row>
    <row r="24" spans="1:13" x14ac:dyDescent="0.2">
      <c r="A24" s="253" t="s">
        <v>58</v>
      </c>
      <c r="B24" s="254">
        <v>0.41</v>
      </c>
      <c r="C24" s="339"/>
      <c r="D24" s="339">
        <v>14530.280485230476</v>
      </c>
      <c r="E24" s="255">
        <v>51326.32900554363</v>
      </c>
      <c r="F24" s="252">
        <v>40853.333333333336</v>
      </c>
      <c r="G24" s="255">
        <v>51489.88</v>
      </c>
      <c r="H24" s="252">
        <v>40853.333333333336</v>
      </c>
      <c r="I24" s="252">
        <v>10472.995672210294</v>
      </c>
      <c r="J24" s="252">
        <v>14366.729490774112</v>
      </c>
      <c r="K24" s="339"/>
      <c r="L24" s="42" t="s">
        <v>77</v>
      </c>
      <c r="M24" s="42" t="s">
        <v>78</v>
      </c>
    </row>
    <row r="25" spans="1:13" ht="38.25" x14ac:dyDescent="0.2">
      <c r="A25" s="253"/>
      <c r="B25" s="254"/>
      <c r="C25" s="341"/>
      <c r="D25" s="341"/>
      <c r="E25" s="255"/>
      <c r="F25" s="252"/>
      <c r="G25" s="255"/>
      <c r="H25" s="252"/>
      <c r="I25" s="252"/>
      <c r="J25" s="252"/>
      <c r="K25" s="341"/>
      <c r="L25" s="36" t="s">
        <v>79</v>
      </c>
      <c r="M25" s="36" t="s">
        <v>65</v>
      </c>
    </row>
    <row r="26" spans="1:13" ht="25.5" x14ac:dyDescent="0.2">
      <c r="A26" s="253" t="s">
        <v>59</v>
      </c>
      <c r="B26" s="254">
        <v>1.85</v>
      </c>
      <c r="C26" s="339"/>
      <c r="D26" s="339">
        <v>48736.074156658258</v>
      </c>
      <c r="E26" s="255">
        <v>243376.90503210895</v>
      </c>
      <c r="F26" s="252">
        <v>341394.66666666669</v>
      </c>
      <c r="G26" s="255">
        <v>223989.46</v>
      </c>
      <c r="H26" s="252">
        <v>369523.66666666698</v>
      </c>
      <c r="I26" s="252">
        <v>-98017.761634557741</v>
      </c>
      <c r="J26" s="252">
        <v>68123.519188767212</v>
      </c>
      <c r="K26" s="339"/>
      <c r="L26" s="42" t="s">
        <v>80</v>
      </c>
      <c r="M26" s="42" t="s">
        <v>81</v>
      </c>
    </row>
    <row r="27" spans="1:13" x14ac:dyDescent="0.2">
      <c r="A27" s="253"/>
      <c r="B27" s="254"/>
      <c r="C27" s="340"/>
      <c r="D27" s="340"/>
      <c r="E27" s="255"/>
      <c r="F27" s="252"/>
      <c r="G27" s="255"/>
      <c r="H27" s="252"/>
      <c r="I27" s="252"/>
      <c r="J27" s="252"/>
      <c r="K27" s="340"/>
      <c r="L27" s="42" t="s">
        <v>82</v>
      </c>
      <c r="M27" s="36" t="s">
        <v>69</v>
      </c>
    </row>
    <row r="28" spans="1:13" ht="38.25" x14ac:dyDescent="0.2">
      <c r="A28" s="253"/>
      <c r="B28" s="254"/>
      <c r="C28" s="341"/>
      <c r="D28" s="341"/>
      <c r="E28" s="255"/>
      <c r="F28" s="252"/>
      <c r="G28" s="255"/>
      <c r="H28" s="252"/>
      <c r="I28" s="252"/>
      <c r="J28" s="252"/>
      <c r="K28" s="341"/>
      <c r="L28" s="36" t="s">
        <v>83</v>
      </c>
      <c r="M28" s="36" t="s">
        <v>65</v>
      </c>
    </row>
    <row r="29" spans="1:13" x14ac:dyDescent="0.2">
      <c r="A29" s="253" t="s">
        <v>33</v>
      </c>
      <c r="B29" s="254">
        <v>5.77</v>
      </c>
      <c r="C29" s="339"/>
      <c r="D29" s="339">
        <v>111692.27433182695</v>
      </c>
      <c r="E29" s="255">
        <v>722183.71088816086</v>
      </c>
      <c r="F29" s="252">
        <v>959390</v>
      </c>
      <c r="G29" s="255">
        <v>631729.87</v>
      </c>
      <c r="H29" s="252">
        <v>959390</v>
      </c>
      <c r="I29" s="252">
        <v>-237206.28911183914</v>
      </c>
      <c r="J29" s="252">
        <v>202146.11521998784</v>
      </c>
      <c r="K29" s="339"/>
      <c r="L29" s="318" t="s">
        <v>84</v>
      </c>
      <c r="M29" s="333" t="s">
        <v>85</v>
      </c>
    </row>
    <row r="30" spans="1:13" x14ac:dyDescent="0.2">
      <c r="A30" s="253"/>
      <c r="B30" s="254"/>
      <c r="C30" s="340"/>
      <c r="D30" s="340"/>
      <c r="E30" s="255"/>
      <c r="F30" s="252"/>
      <c r="G30" s="255"/>
      <c r="H30" s="252"/>
      <c r="I30" s="252"/>
      <c r="J30" s="252"/>
      <c r="K30" s="340"/>
      <c r="L30" s="319"/>
      <c r="M30" s="334"/>
    </row>
    <row r="31" spans="1:13" x14ac:dyDescent="0.2">
      <c r="A31" s="253"/>
      <c r="B31" s="254"/>
      <c r="C31" s="341"/>
      <c r="D31" s="341"/>
      <c r="E31" s="255"/>
      <c r="F31" s="252"/>
      <c r="G31" s="255"/>
      <c r="H31" s="252"/>
      <c r="I31" s="252"/>
      <c r="J31" s="252"/>
      <c r="K31" s="341"/>
      <c r="L31" s="320"/>
      <c r="M31" s="335"/>
    </row>
    <row r="32" spans="1:13" x14ac:dyDescent="0.2">
      <c r="A32" s="253" t="s">
        <v>60</v>
      </c>
      <c r="B32" s="254">
        <v>125</v>
      </c>
      <c r="C32" s="339"/>
      <c r="D32" s="339">
        <v>29867.916848233232</v>
      </c>
      <c r="E32" s="255">
        <v>208961.36378809612</v>
      </c>
      <c r="F32" s="252">
        <v>180339</v>
      </c>
      <c r="G32" s="255">
        <v>184222.89</v>
      </c>
      <c r="H32" s="252">
        <v>180339</v>
      </c>
      <c r="I32" s="252">
        <v>28622.363788096118</v>
      </c>
      <c r="J32" s="252">
        <v>58490.280636329357</v>
      </c>
      <c r="K32" s="339"/>
      <c r="L32" s="42" t="s">
        <v>86</v>
      </c>
      <c r="M32" s="42" t="s">
        <v>87</v>
      </c>
    </row>
    <row r="33" spans="1:13" ht="25.5" x14ac:dyDescent="0.2">
      <c r="A33" s="253"/>
      <c r="B33" s="254"/>
      <c r="C33" s="341"/>
      <c r="D33" s="341"/>
      <c r="E33" s="255"/>
      <c r="F33" s="252"/>
      <c r="G33" s="255"/>
      <c r="H33" s="252"/>
      <c r="I33" s="252"/>
      <c r="J33" s="252"/>
      <c r="K33" s="341"/>
      <c r="L33" s="36" t="s">
        <v>76</v>
      </c>
      <c r="M33" s="36" t="s">
        <v>65</v>
      </c>
    </row>
    <row r="34" spans="1:13" x14ac:dyDescent="0.2">
      <c r="A34" s="253" t="s">
        <v>35</v>
      </c>
      <c r="B34" s="254">
        <v>1.77</v>
      </c>
      <c r="C34" s="339"/>
      <c r="D34" s="339">
        <v>27442.643764615786</v>
      </c>
      <c r="E34" s="255">
        <v>210677.54135734891</v>
      </c>
      <c r="F34" s="252">
        <v>231471.66666666666</v>
      </c>
      <c r="G34" s="255">
        <v>179149.53</v>
      </c>
      <c r="H34" s="252">
        <v>231471.66666666666</v>
      </c>
      <c r="I34" s="252">
        <v>-20794.125309317751</v>
      </c>
      <c r="J34" s="252">
        <v>58970.655121964708</v>
      </c>
      <c r="K34" s="339"/>
      <c r="L34" s="42" t="s">
        <v>88</v>
      </c>
      <c r="M34" s="42" t="s">
        <v>89</v>
      </c>
    </row>
    <row r="35" spans="1:13" ht="25.5" x14ac:dyDescent="0.2">
      <c r="A35" s="253"/>
      <c r="B35" s="254"/>
      <c r="C35" s="341"/>
      <c r="D35" s="341"/>
      <c r="E35" s="255"/>
      <c r="F35" s="252"/>
      <c r="G35" s="255"/>
      <c r="H35" s="252"/>
      <c r="I35" s="252"/>
      <c r="J35" s="252"/>
      <c r="K35" s="341"/>
      <c r="L35" s="36" t="s">
        <v>76</v>
      </c>
      <c r="M35" s="36" t="s">
        <v>65</v>
      </c>
    </row>
    <row r="36" spans="1:13" x14ac:dyDescent="0.2">
      <c r="A36" s="38"/>
      <c r="B36" s="147"/>
      <c r="C36" s="151"/>
      <c r="D36" s="184"/>
      <c r="E36" s="185"/>
      <c r="F36" s="186"/>
      <c r="G36" s="185"/>
      <c r="H36" s="186"/>
      <c r="I36" s="186"/>
      <c r="J36" s="182"/>
      <c r="K36" s="184"/>
      <c r="L36" s="43"/>
      <c r="M36" s="36"/>
    </row>
    <row r="37" spans="1:13" x14ac:dyDescent="0.2">
      <c r="A37" s="44" t="s">
        <v>40</v>
      </c>
      <c r="B37" s="336"/>
      <c r="C37" s="336"/>
      <c r="D37" s="276">
        <v>710108.63452871097</v>
      </c>
      <c r="E37" s="336">
        <v>3641199.5796001861</v>
      </c>
      <c r="F37" s="336">
        <v>3641199.5796001856</v>
      </c>
      <c r="G37" s="336">
        <v>3332101.6899999995</v>
      </c>
      <c r="H37" s="336">
        <v>2757758.088260856</v>
      </c>
      <c r="I37" s="336">
        <v>0</v>
      </c>
      <c r="J37" s="336">
        <v>1019206.5241288968</v>
      </c>
      <c r="K37" s="336">
        <v>5839392</v>
      </c>
      <c r="L37" s="249"/>
      <c r="M37" s="263"/>
    </row>
    <row r="38" spans="1:13" x14ac:dyDescent="0.2">
      <c r="A38" s="45" t="s">
        <v>24</v>
      </c>
      <c r="B38" s="336"/>
      <c r="C38" s="336"/>
      <c r="D38" s="343"/>
      <c r="E38" s="336"/>
      <c r="F38" s="336"/>
      <c r="G38" s="336"/>
      <c r="H38" s="336"/>
      <c r="I38" s="336"/>
      <c r="J38" s="336"/>
      <c r="K38" s="336"/>
      <c r="L38" s="249"/>
      <c r="M38" s="263"/>
    </row>
    <row r="39" spans="1:13" x14ac:dyDescent="0.2">
      <c r="A39" s="46" t="s">
        <v>41</v>
      </c>
      <c r="B39" s="149" t="s">
        <v>42</v>
      </c>
      <c r="C39" s="41">
        <f>E39/84.48</f>
        <v>7995.541861996845</v>
      </c>
      <c r="D39" s="186">
        <v>185721.29109404644</v>
      </c>
      <c r="E39" s="186">
        <v>675463.37650149351</v>
      </c>
      <c r="F39" s="252">
        <v>2447020.5394811863</v>
      </c>
      <c r="G39" s="187">
        <v>672116.02</v>
      </c>
      <c r="H39" s="252">
        <v>1712914.3776368303</v>
      </c>
      <c r="I39" s="252">
        <v>0</v>
      </c>
      <c r="J39" s="186">
        <v>189068.64759553989</v>
      </c>
      <c r="K39" s="252">
        <v>5026405.666666667</v>
      </c>
      <c r="L39" s="263" t="s">
        <v>90</v>
      </c>
      <c r="M39" s="263" t="s">
        <v>91</v>
      </c>
    </row>
    <row r="40" spans="1:13" x14ac:dyDescent="0.2">
      <c r="A40" s="46" t="s">
        <v>43</v>
      </c>
      <c r="B40" s="149" t="s">
        <v>44</v>
      </c>
      <c r="C40" s="41">
        <f>E40/1400</f>
        <v>1265.3979735569233</v>
      </c>
      <c r="D40" s="186">
        <v>224669.62963764789</v>
      </c>
      <c r="E40" s="186">
        <v>1771557.1629796927</v>
      </c>
      <c r="F40" s="252"/>
      <c r="G40" s="187">
        <v>1500351.03</v>
      </c>
      <c r="H40" s="252"/>
      <c r="I40" s="252"/>
      <c r="J40" s="186">
        <v>495875.76261734054</v>
      </c>
      <c r="K40" s="252"/>
      <c r="L40" s="263"/>
      <c r="M40" s="263"/>
    </row>
    <row r="41" spans="1:13" x14ac:dyDescent="0.2">
      <c r="A41" s="46" t="s">
        <v>45</v>
      </c>
      <c r="B41" s="149" t="s">
        <v>46</v>
      </c>
      <c r="C41" s="41">
        <f>E41/21</f>
        <v>12123.832755021253</v>
      </c>
      <c r="D41" s="186">
        <v>85811.989314857055</v>
      </c>
      <c r="E41" s="186">
        <v>254600.48785544629</v>
      </c>
      <c r="F41" s="252">
        <v>676704.82470098906</v>
      </c>
      <c r="G41" s="187">
        <v>269147.37</v>
      </c>
      <c r="H41" s="252">
        <v>473693.3772906923</v>
      </c>
      <c r="I41" s="252">
        <v>0</v>
      </c>
      <c r="J41" s="186">
        <v>71265.107170303367</v>
      </c>
      <c r="K41" s="252">
        <v>762584</v>
      </c>
      <c r="L41" s="263" t="s">
        <v>92</v>
      </c>
      <c r="M41" s="263" t="s">
        <v>93</v>
      </c>
    </row>
    <row r="42" spans="1:13" ht="25.5" x14ac:dyDescent="0.2">
      <c r="A42" s="49" t="s">
        <v>47</v>
      </c>
      <c r="B42" s="148" t="s">
        <v>46</v>
      </c>
      <c r="C42" s="41">
        <f>C39+C41</f>
        <v>20119.374617018097</v>
      </c>
      <c r="D42" s="186">
        <v>129494.70678258839</v>
      </c>
      <c r="E42" s="186">
        <v>422104.33684554277</v>
      </c>
      <c r="F42" s="252"/>
      <c r="G42" s="187">
        <v>433448.01</v>
      </c>
      <c r="H42" s="252"/>
      <c r="I42" s="252"/>
      <c r="J42" s="186">
        <v>118151.03362813116</v>
      </c>
      <c r="K42" s="252"/>
      <c r="L42" s="263"/>
      <c r="M42" s="263"/>
    </row>
    <row r="43" spans="1:13" ht="38.25" x14ac:dyDescent="0.2">
      <c r="A43" s="49" t="s">
        <v>48</v>
      </c>
      <c r="B43" s="148" t="s">
        <v>94</v>
      </c>
      <c r="C43" s="41">
        <f>E43/2</f>
        <v>258737.1077090053</v>
      </c>
      <c r="D43" s="186">
        <v>84411.017699571152</v>
      </c>
      <c r="E43" s="185">
        <v>517474.2154180106</v>
      </c>
      <c r="F43" s="152">
        <v>517474.2154180106</v>
      </c>
      <c r="G43" s="187">
        <v>457039.25999999995</v>
      </c>
      <c r="H43" s="152">
        <v>571150.33333333337</v>
      </c>
      <c r="I43" s="186">
        <v>0</v>
      </c>
      <c r="J43" s="186">
        <v>144845.97311758177</v>
      </c>
      <c r="K43" s="152">
        <v>50402.333333333336</v>
      </c>
      <c r="L43" s="50" t="s">
        <v>95</v>
      </c>
      <c r="M43" s="50" t="s">
        <v>96</v>
      </c>
    </row>
    <row r="44" spans="1:13" ht="84" x14ac:dyDescent="0.2">
      <c r="A44" s="69" t="s">
        <v>49</v>
      </c>
      <c r="B44" s="153">
        <f>'[3]Тарифы Нач Затр '!$E$29</f>
        <v>6.1</v>
      </c>
      <c r="C44" s="154"/>
      <c r="D44" s="181">
        <v>99552.686203971622</v>
      </c>
      <c r="E44" s="181">
        <v>716646.01509672822</v>
      </c>
      <c r="F44" s="181">
        <v>759065.77777777787</v>
      </c>
      <c r="G44" s="181">
        <v>615602.64</v>
      </c>
      <c r="H44" s="181">
        <v>759065.77777777787</v>
      </c>
      <c r="I44" s="181">
        <v>-42419.762681049644</v>
      </c>
      <c r="J44" s="181">
        <v>200596.0613006998</v>
      </c>
      <c r="K44" s="181"/>
      <c r="L44" s="54" t="s">
        <v>97</v>
      </c>
      <c r="M44" s="36" t="s">
        <v>65</v>
      </c>
    </row>
    <row r="45" spans="1:13" ht="25.5" x14ac:dyDescent="0.2">
      <c r="A45" s="34" t="s">
        <v>50</v>
      </c>
      <c r="B45" s="147">
        <v>2.3599999999999999E-2</v>
      </c>
      <c r="C45" s="147"/>
      <c r="D45" s="181">
        <v>28088.451297001069</v>
      </c>
      <c r="E45" s="180">
        <v>165394.52533149664</v>
      </c>
      <c r="F45" s="180">
        <v>165394.52533149664</v>
      </c>
      <c r="G45" s="180">
        <v>147187.47</v>
      </c>
      <c r="H45" s="181">
        <v>165394.52533149664</v>
      </c>
      <c r="I45" s="181">
        <v>0</v>
      </c>
      <c r="J45" s="181">
        <v>46295.5066284977</v>
      </c>
      <c r="K45" s="187"/>
      <c r="L45" s="56" t="s">
        <v>98</v>
      </c>
      <c r="M45" s="47" t="s">
        <v>99</v>
      </c>
    </row>
    <row r="46" spans="1:13" x14ac:dyDescent="0.2">
      <c r="A46" s="34" t="s">
        <v>100</v>
      </c>
      <c r="B46" s="147"/>
      <c r="C46" s="147"/>
      <c r="D46" s="181">
        <v>34319.131106880071</v>
      </c>
      <c r="E46" s="180">
        <v>122609.41455422709</v>
      </c>
      <c r="F46" s="180">
        <v>122609</v>
      </c>
      <c r="G46" s="180">
        <v>122609</v>
      </c>
      <c r="H46" s="181">
        <v>122609</v>
      </c>
      <c r="I46" s="181"/>
      <c r="J46" s="181">
        <v>34319.545661107157</v>
      </c>
      <c r="K46" s="187"/>
      <c r="L46" s="56"/>
      <c r="M46" s="47"/>
    </row>
    <row r="47" spans="1:13" x14ac:dyDescent="0.2">
      <c r="A47" s="57" t="s">
        <v>51</v>
      </c>
      <c r="B47" s="159"/>
      <c r="C47" s="154"/>
      <c r="D47" s="153">
        <f>SUM(D11,D37,D44,D45,D46)</f>
        <v>1470511.4999999995</v>
      </c>
      <c r="E47" s="153">
        <f>SUM(E11,E37,E44,E45,E46)</f>
        <v>8352898.3799999999</v>
      </c>
      <c r="F47" s="153">
        <f t="shared" ref="F47:I47" si="1">SUM(F11,F37,F44,F45,F46)</f>
        <v>8548320.7715983503</v>
      </c>
      <c r="G47" s="153">
        <f t="shared" si="1"/>
        <v>7485353.879999999</v>
      </c>
      <c r="H47" s="153">
        <f t="shared" si="1"/>
        <v>7693008.2802590197</v>
      </c>
      <c r="I47" s="153">
        <f t="shared" si="1"/>
        <v>-195422.806152576</v>
      </c>
      <c r="J47" s="157">
        <v>2338056</v>
      </c>
      <c r="K47" s="154"/>
      <c r="L47" s="47"/>
      <c r="M47" s="46"/>
    </row>
    <row r="48" spans="1:13" x14ac:dyDescent="0.2">
      <c r="A48" s="59"/>
      <c r="B48" s="60"/>
      <c r="C48" s="60"/>
      <c r="D48" s="60"/>
      <c r="E48" s="61"/>
      <c r="F48" s="61"/>
      <c r="G48" s="61"/>
      <c r="H48" s="61"/>
      <c r="I48" s="62"/>
      <c r="J48" s="160">
        <f>J11+J37+J45+J46+J44</f>
        <v>2338056</v>
      </c>
      <c r="K48" s="63"/>
      <c r="L48" s="64"/>
      <c r="M48" s="65"/>
    </row>
    <row r="49" spans="1:14" ht="24.75" customHeight="1" x14ac:dyDescent="0.2">
      <c r="A49" s="145" t="s">
        <v>178</v>
      </c>
      <c r="B49" s="140">
        <v>312008.33333333331</v>
      </c>
      <c r="C49" s="1" t="s">
        <v>4</v>
      </c>
    </row>
    <row r="50" spans="1:14" ht="25.5" x14ac:dyDescent="0.2">
      <c r="A50" s="145" t="s">
        <v>179</v>
      </c>
      <c r="B50" s="140">
        <v>104353.93307431228</v>
      </c>
      <c r="C50" s="1" t="s">
        <v>4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4" ht="13.5" thickBot="1" x14ac:dyDescent="0.25">
      <c r="A51" s="117"/>
      <c r="B51" s="161">
        <f>313061/3</f>
        <v>104353.66666666667</v>
      </c>
    </row>
    <row r="52" spans="1:14" ht="27.75" customHeight="1" x14ac:dyDescent="0.2">
      <c r="A52" s="241" t="s">
        <v>197</v>
      </c>
      <c r="B52" s="242"/>
      <c r="C52" s="243"/>
      <c r="D52" s="4"/>
      <c r="E52" s="4"/>
      <c r="F52" s="4"/>
      <c r="G52" s="4"/>
      <c r="H52" s="4"/>
      <c r="I52" s="4"/>
      <c r="J52" s="4"/>
      <c r="K52" s="16"/>
      <c r="L52" s="4"/>
      <c r="M52" s="4"/>
      <c r="N52" s="4"/>
    </row>
    <row r="53" spans="1:14" ht="15" customHeight="1" x14ac:dyDescent="0.2">
      <c r="A53" s="225" t="s">
        <v>198</v>
      </c>
      <c r="B53" s="244" t="s">
        <v>199</v>
      </c>
      <c r="C53" s="245"/>
      <c r="D53" s="4"/>
      <c r="K53" s="117"/>
    </row>
    <row r="54" spans="1:14" ht="39" customHeight="1" thickBot="1" x14ac:dyDescent="0.25">
      <c r="A54" s="226" t="s">
        <v>215</v>
      </c>
      <c r="B54" s="246" t="s">
        <v>201</v>
      </c>
      <c r="C54" s="247"/>
      <c r="D54" s="4"/>
      <c r="K54" s="117"/>
    </row>
  </sheetData>
  <mergeCells count="145">
    <mergeCell ref="C26:C28"/>
    <mergeCell ref="C29:C31"/>
    <mergeCell ref="C32:C33"/>
    <mergeCell ref="C34:C35"/>
    <mergeCell ref="C37:C38"/>
    <mergeCell ref="K41:K42"/>
    <mergeCell ref="D13:D15"/>
    <mergeCell ref="D20:D21"/>
    <mergeCell ref="D22:D23"/>
    <mergeCell ref="D24:D25"/>
    <mergeCell ref="D26:D28"/>
    <mergeCell ref="D29:D31"/>
    <mergeCell ref="D32:D33"/>
    <mergeCell ref="D34:D35"/>
    <mergeCell ref="D37:D38"/>
    <mergeCell ref="H13:H15"/>
    <mergeCell ref="I13:I15"/>
    <mergeCell ref="J13:J15"/>
    <mergeCell ref="K13:K15"/>
    <mergeCell ref="H22:H23"/>
    <mergeCell ref="I22:I23"/>
    <mergeCell ref="J22:J23"/>
    <mergeCell ref="K22:K23"/>
    <mergeCell ref="F41:F42"/>
    <mergeCell ref="M9:M10"/>
    <mergeCell ref="A1:I1"/>
    <mergeCell ref="A3:M3"/>
    <mergeCell ref="A4:M4"/>
    <mergeCell ref="A5:M5"/>
    <mergeCell ref="C9:C10"/>
    <mergeCell ref="D9:D10"/>
    <mergeCell ref="I11:I12"/>
    <mergeCell ref="J11:J12"/>
    <mergeCell ref="K11:K12"/>
    <mergeCell ref="L11:L12"/>
    <mergeCell ref="A9:A10"/>
    <mergeCell ref="B9:B10"/>
    <mergeCell ref="E9:F9"/>
    <mergeCell ref="G9:H9"/>
    <mergeCell ref="I9:I10"/>
    <mergeCell ref="J9:J10"/>
    <mergeCell ref="K9:K10"/>
    <mergeCell ref="L9:L10"/>
    <mergeCell ref="M11:M12"/>
    <mergeCell ref="H11:H12"/>
    <mergeCell ref="D11:D12"/>
    <mergeCell ref="C11:C12"/>
    <mergeCell ref="B11:B12"/>
    <mergeCell ref="E11:E12"/>
    <mergeCell ref="F11:F12"/>
    <mergeCell ref="G11:G12"/>
    <mergeCell ref="A20:A21"/>
    <mergeCell ref="B20:B21"/>
    <mergeCell ref="E20:E21"/>
    <mergeCell ref="F20:F21"/>
    <mergeCell ref="G20:G21"/>
    <mergeCell ref="C20:C21"/>
    <mergeCell ref="C13:C15"/>
    <mergeCell ref="H24:H25"/>
    <mergeCell ref="I24:I25"/>
    <mergeCell ref="J24:J25"/>
    <mergeCell ref="K24:K25"/>
    <mergeCell ref="A13:A15"/>
    <mergeCell ref="B13:B15"/>
    <mergeCell ref="E13:E15"/>
    <mergeCell ref="F13:F15"/>
    <mergeCell ref="G13:G15"/>
    <mergeCell ref="H20:H21"/>
    <mergeCell ref="I20:I21"/>
    <mergeCell ref="J20:J21"/>
    <mergeCell ref="K20:K21"/>
    <mergeCell ref="C22:C23"/>
    <mergeCell ref="C24:C25"/>
    <mergeCell ref="G29:G31"/>
    <mergeCell ref="H29:H31"/>
    <mergeCell ref="I29:I31"/>
    <mergeCell ref="J29:J31"/>
    <mergeCell ref="K29:K31"/>
    <mergeCell ref="A22:A23"/>
    <mergeCell ref="B22:B23"/>
    <mergeCell ref="E22:E23"/>
    <mergeCell ref="F22:F23"/>
    <mergeCell ref="G22:G23"/>
    <mergeCell ref="H26:H28"/>
    <mergeCell ref="I26:I28"/>
    <mergeCell ref="J26:J28"/>
    <mergeCell ref="K26:K28"/>
    <mergeCell ref="A26:A28"/>
    <mergeCell ref="B26:B28"/>
    <mergeCell ref="E26:E28"/>
    <mergeCell ref="F26:F28"/>
    <mergeCell ref="G26:G28"/>
    <mergeCell ref="A24:A25"/>
    <mergeCell ref="B24:B25"/>
    <mergeCell ref="E24:E25"/>
    <mergeCell ref="F24:F25"/>
    <mergeCell ref="G24:G25"/>
    <mergeCell ref="A34:A35"/>
    <mergeCell ref="B34:B35"/>
    <mergeCell ref="E34:E35"/>
    <mergeCell ref="F34:F35"/>
    <mergeCell ref="G34:G35"/>
    <mergeCell ref="L29:L31"/>
    <mergeCell ref="M29:M31"/>
    <mergeCell ref="A32:A33"/>
    <mergeCell ref="B32:B33"/>
    <mergeCell ref="E32:E33"/>
    <mergeCell ref="F32:F33"/>
    <mergeCell ref="G32:G33"/>
    <mergeCell ref="H32:H33"/>
    <mergeCell ref="I32:I33"/>
    <mergeCell ref="J32:J33"/>
    <mergeCell ref="K32:K33"/>
    <mergeCell ref="H34:H35"/>
    <mergeCell ref="I34:I35"/>
    <mergeCell ref="J34:J35"/>
    <mergeCell ref="K34:K35"/>
    <mergeCell ref="A29:A31"/>
    <mergeCell ref="B29:B31"/>
    <mergeCell ref="E29:E31"/>
    <mergeCell ref="F29:F31"/>
    <mergeCell ref="A52:C52"/>
    <mergeCell ref="B53:C53"/>
    <mergeCell ref="B54:C54"/>
    <mergeCell ref="A7:L7"/>
    <mergeCell ref="L41:L42"/>
    <mergeCell ref="L37:L38"/>
    <mergeCell ref="M37:M38"/>
    <mergeCell ref="F39:F40"/>
    <mergeCell ref="H39:H40"/>
    <mergeCell ref="I39:I40"/>
    <mergeCell ref="L39:L40"/>
    <mergeCell ref="M39:M40"/>
    <mergeCell ref="B37:B38"/>
    <mergeCell ref="E37:E38"/>
    <mergeCell ref="F37:F38"/>
    <mergeCell ref="G37:G38"/>
    <mergeCell ref="H37:H38"/>
    <mergeCell ref="I37:I38"/>
    <mergeCell ref="J37:J38"/>
    <mergeCell ref="K37:K38"/>
    <mergeCell ref="M41:M42"/>
    <mergeCell ref="K39:K40"/>
    <mergeCell ref="H41:H42"/>
    <mergeCell ref="I41:I42"/>
  </mergeCells>
  <phoneticPr fontId="25" type="noConversion"/>
  <hyperlinks>
    <hyperlink ref="A1:I1" location="'адресный список'!A1" display="'адресный список'!A1"/>
    <hyperlink ref="A33:I33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8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4"/>
  <sheetViews>
    <sheetView zoomScaleNormal="100" workbookViewId="0">
      <selection activeCell="N12" sqref="N12"/>
    </sheetView>
  </sheetViews>
  <sheetFormatPr defaultColWidth="32.7109375" defaultRowHeight="12.75" x14ac:dyDescent="0.2"/>
  <cols>
    <col min="1" max="1" width="39.42578125" style="2" customWidth="1"/>
    <col min="2" max="2" width="20" style="1" customWidth="1"/>
    <col min="3" max="3" width="16.5703125" style="1" customWidth="1"/>
    <col min="4" max="4" width="18.85546875" style="1" customWidth="1"/>
    <col min="5" max="5" width="16.85546875" style="1" customWidth="1"/>
    <col min="6" max="6" width="16" style="1" customWidth="1"/>
    <col min="7" max="7" width="17.28515625" style="1" customWidth="1"/>
    <col min="8" max="8" width="18.140625" style="1" customWidth="1"/>
    <col min="9" max="9" width="18" style="1" customWidth="1"/>
    <col min="10" max="10" width="18.85546875" style="1" customWidth="1"/>
    <col min="11" max="12" width="20.85546875" style="1" customWidth="1"/>
    <col min="13" max="13" width="19.28515625" style="1" customWidth="1"/>
    <col min="14" max="16384" width="32.7109375" style="1"/>
  </cols>
  <sheetData>
    <row r="1" spans="1:13" x14ac:dyDescent="0.2">
      <c r="A1" s="353" t="s">
        <v>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3" ht="12.75" customHeight="1" x14ac:dyDescent="0.2">
      <c r="A2" s="4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16.5" customHeight="1" x14ac:dyDescent="0.2">
      <c r="A3" s="359" t="s">
        <v>142</v>
      </c>
      <c r="B3" s="359"/>
      <c r="C3" s="359"/>
      <c r="D3" s="359"/>
      <c r="E3" s="359"/>
      <c r="F3" s="359"/>
      <c r="G3" s="359"/>
      <c r="H3" s="359"/>
      <c r="I3" s="359"/>
      <c r="J3" s="131"/>
      <c r="K3" s="131"/>
      <c r="L3" s="131"/>
    </row>
    <row r="4" spans="1:13" ht="13.5" customHeight="1" x14ac:dyDescent="0.2">
      <c r="A4" s="359" t="s">
        <v>205</v>
      </c>
      <c r="B4" s="359"/>
      <c r="C4" s="359"/>
      <c r="D4" s="359"/>
      <c r="E4" s="359"/>
      <c r="F4" s="359"/>
      <c r="G4" s="359"/>
      <c r="H4" s="359"/>
      <c r="I4" s="359"/>
      <c r="J4" s="131"/>
      <c r="K4" s="131"/>
      <c r="L4" s="131"/>
    </row>
    <row r="5" spans="1:13" ht="15.75" customHeight="1" x14ac:dyDescent="0.2">
      <c r="A5" s="359" t="s">
        <v>52</v>
      </c>
      <c r="B5" s="359"/>
      <c r="C5" s="359"/>
      <c r="D5" s="359"/>
      <c r="E5" s="359"/>
      <c r="F5" s="359"/>
      <c r="G5" s="359"/>
      <c r="H5" s="359"/>
      <c r="I5" s="359"/>
      <c r="J5" s="131"/>
      <c r="K5" s="131"/>
      <c r="L5" s="131"/>
    </row>
    <row r="6" spans="1:13" ht="10.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131"/>
      <c r="K6" s="131"/>
      <c r="L6" s="131"/>
    </row>
    <row r="7" spans="1:13" ht="13.5" customHeight="1" x14ac:dyDescent="0.2">
      <c r="A7" s="352" t="s">
        <v>203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</row>
    <row r="8" spans="1:13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ht="21" customHeight="1" x14ac:dyDescent="0.2">
      <c r="A9" s="351" t="s">
        <v>16</v>
      </c>
      <c r="B9" s="351" t="s">
        <v>129</v>
      </c>
      <c r="C9" s="344" t="s">
        <v>128</v>
      </c>
      <c r="D9" s="344" t="s">
        <v>126</v>
      </c>
      <c r="E9" s="351" t="s">
        <v>17</v>
      </c>
      <c r="F9" s="351"/>
      <c r="G9" s="354" t="s">
        <v>191</v>
      </c>
      <c r="H9" s="355"/>
      <c r="I9" s="344" t="s">
        <v>53</v>
      </c>
      <c r="J9" s="344" t="s">
        <v>127</v>
      </c>
      <c r="K9" s="344" t="s">
        <v>125</v>
      </c>
      <c r="L9" s="344" t="s">
        <v>130</v>
      </c>
      <c r="M9" s="351" t="s">
        <v>211</v>
      </c>
    </row>
    <row r="10" spans="1:13" ht="70.5" customHeight="1" x14ac:dyDescent="0.2">
      <c r="A10" s="351"/>
      <c r="B10" s="351"/>
      <c r="C10" s="345"/>
      <c r="D10" s="345"/>
      <c r="E10" s="188" t="s">
        <v>19</v>
      </c>
      <c r="F10" s="188" t="s">
        <v>20</v>
      </c>
      <c r="G10" s="188" t="s">
        <v>21</v>
      </c>
      <c r="H10" s="188" t="s">
        <v>22</v>
      </c>
      <c r="I10" s="345"/>
      <c r="J10" s="345"/>
      <c r="K10" s="345"/>
      <c r="L10" s="345"/>
      <c r="M10" s="351"/>
    </row>
    <row r="11" spans="1:13" s="110" customFormat="1" x14ac:dyDescent="0.2">
      <c r="A11" s="107" t="s">
        <v>23</v>
      </c>
      <c r="B11" s="108"/>
      <c r="C11" s="109">
        <f t="shared" ref="C11:D11" si="0">SUM(C13:C28)</f>
        <v>0</v>
      </c>
      <c r="D11" s="109">
        <f t="shared" si="0"/>
        <v>0</v>
      </c>
      <c r="E11" s="109">
        <f>SUM(E13:E28)</f>
        <v>9190814.3099999987</v>
      </c>
      <c r="F11" s="109">
        <f t="shared" ref="F11:H11" si="1">SUM(F13:F28)</f>
        <v>6432960</v>
      </c>
      <c r="G11" s="109">
        <f t="shared" si="1"/>
        <v>7797512.3699999992</v>
      </c>
      <c r="H11" s="109">
        <f t="shared" si="1"/>
        <v>7132713</v>
      </c>
      <c r="I11" s="109">
        <f>SUM(I13:I28)</f>
        <v>2757854.3100000005</v>
      </c>
      <c r="J11" s="109">
        <f>SUM(J13:J28)</f>
        <v>1300742.6752779011</v>
      </c>
      <c r="K11" s="108"/>
      <c r="L11" s="109"/>
      <c r="M11" s="109">
        <f>SUM(M13:M28)</f>
        <v>6586379.6564886309</v>
      </c>
    </row>
    <row r="12" spans="1:13" x14ac:dyDescent="0.2">
      <c r="A12" s="100" t="s">
        <v>24</v>
      </c>
      <c r="B12" s="19"/>
      <c r="C12" s="97"/>
      <c r="D12" s="97"/>
      <c r="E12" s="97"/>
      <c r="F12" s="97"/>
      <c r="G12" s="97"/>
      <c r="H12" s="97"/>
      <c r="I12" s="97"/>
      <c r="J12" s="97"/>
      <c r="K12" s="19"/>
      <c r="L12" s="97"/>
      <c r="M12" s="228"/>
    </row>
    <row r="13" spans="1:13" ht="76.5" x14ac:dyDescent="0.2">
      <c r="A13" s="101" t="s">
        <v>25</v>
      </c>
      <c r="B13" s="26">
        <v>8.02</v>
      </c>
      <c r="C13" s="97"/>
      <c r="D13" s="97">
        <v>0</v>
      </c>
      <c r="E13" s="97">
        <f>2854060.74-94516.02</f>
        <v>2759544.72</v>
      </c>
      <c r="F13" s="97">
        <v>1763538</v>
      </c>
      <c r="G13" s="97">
        <v>2227793.87</v>
      </c>
      <c r="H13" s="97">
        <v>2435291</v>
      </c>
      <c r="I13" s="97">
        <f>E13-F13</f>
        <v>996006.7200000002</v>
      </c>
      <c r="J13" s="132">
        <f>E13*$J$38/$E$38</f>
        <v>390548.3736883165</v>
      </c>
      <c r="K13" s="21"/>
      <c r="L13" s="132" t="s">
        <v>135</v>
      </c>
      <c r="M13" s="228">
        <f>E13*$M$38/$E$37</f>
        <v>1977562.4435370208</v>
      </c>
    </row>
    <row r="14" spans="1:13" ht="25.5" x14ac:dyDescent="0.2">
      <c r="A14" s="101" t="s">
        <v>26</v>
      </c>
      <c r="B14" s="26">
        <v>5.08</v>
      </c>
      <c r="C14" s="97"/>
      <c r="D14" s="97">
        <v>0</v>
      </c>
      <c r="E14" s="97">
        <v>1758399.55</v>
      </c>
      <c r="F14" s="97">
        <v>0</v>
      </c>
      <c r="G14" s="97">
        <v>1398844.6</v>
      </c>
      <c r="H14" s="97">
        <v>0</v>
      </c>
      <c r="I14" s="97">
        <f t="shared" ref="I14:I28" si="2">E14-F14</f>
        <v>1758399.55</v>
      </c>
      <c r="J14" s="132">
        <f t="shared" ref="J14:J28" si="3">E14*$J$38/$E$38</f>
        <v>248859.92227977651</v>
      </c>
      <c r="K14" s="21"/>
      <c r="L14" s="132"/>
      <c r="M14" s="228">
        <f t="shared" ref="M14:M36" si="4">E14*$M$38/$E$37</f>
        <v>1260115.4406413815</v>
      </c>
    </row>
    <row r="15" spans="1:13" ht="25.5" x14ac:dyDescent="0.2">
      <c r="A15" s="101" t="s">
        <v>27</v>
      </c>
      <c r="B15" s="26">
        <v>2.8</v>
      </c>
      <c r="C15" s="97"/>
      <c r="D15" s="97">
        <v>0</v>
      </c>
      <c r="E15" s="97">
        <v>833744.67</v>
      </c>
      <c r="F15" s="97">
        <v>831856</v>
      </c>
      <c r="G15" s="97">
        <v>586347.36</v>
      </c>
      <c r="H15" s="97">
        <v>801856</v>
      </c>
      <c r="I15" s="97">
        <f t="shared" si="2"/>
        <v>1888.6700000000419</v>
      </c>
      <c r="J15" s="132">
        <f t="shared" si="3"/>
        <v>117996.86469288389</v>
      </c>
      <c r="K15" s="21"/>
      <c r="L15" s="132" t="s">
        <v>15</v>
      </c>
      <c r="M15" s="228">
        <f t="shared" si="4"/>
        <v>597483.39461270522</v>
      </c>
    </row>
    <row r="16" spans="1:13" ht="57" customHeight="1" x14ac:dyDescent="0.2">
      <c r="A16" s="101" t="s">
        <v>54</v>
      </c>
      <c r="B16" s="26">
        <v>1.57</v>
      </c>
      <c r="C16" s="97"/>
      <c r="D16" s="97">
        <v>0</v>
      </c>
      <c r="E16" s="97">
        <v>643560.51</v>
      </c>
      <c r="F16" s="97">
        <v>645800</v>
      </c>
      <c r="G16" s="97">
        <v>631273.6</v>
      </c>
      <c r="H16" s="97">
        <v>609800</v>
      </c>
      <c r="I16" s="97">
        <f t="shared" si="2"/>
        <v>-2239.4899999999907</v>
      </c>
      <c r="J16" s="132">
        <f t="shared" si="3"/>
        <v>91080.78906237967</v>
      </c>
      <c r="K16" s="21"/>
      <c r="L16" s="132" t="s">
        <v>138</v>
      </c>
      <c r="M16" s="228">
        <f t="shared" si="4"/>
        <v>461192.41536318767</v>
      </c>
    </row>
    <row r="17" spans="1:13" x14ac:dyDescent="0.2">
      <c r="A17" s="101" t="s">
        <v>29</v>
      </c>
      <c r="B17" s="26">
        <v>0.79</v>
      </c>
      <c r="C17" s="97"/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f t="shared" si="2"/>
        <v>0</v>
      </c>
      <c r="J17" s="132">
        <f t="shared" si="3"/>
        <v>0</v>
      </c>
      <c r="K17" s="21"/>
      <c r="L17" s="132"/>
      <c r="M17" s="228">
        <f t="shared" si="4"/>
        <v>0</v>
      </c>
    </row>
    <row r="18" spans="1:13" ht="38.25" x14ac:dyDescent="0.2">
      <c r="A18" s="101" t="s">
        <v>30</v>
      </c>
      <c r="B18" s="26">
        <v>0.74</v>
      </c>
      <c r="C18" s="97"/>
      <c r="D18" s="97">
        <v>0</v>
      </c>
      <c r="E18" s="97">
        <v>165214.35</v>
      </c>
      <c r="F18" s="97">
        <v>199520</v>
      </c>
      <c r="G18" s="97">
        <v>107910.06</v>
      </c>
      <c r="H18" s="97">
        <v>199520</v>
      </c>
      <c r="I18" s="97">
        <f t="shared" si="2"/>
        <v>-34305.649999999994</v>
      </c>
      <c r="J18" s="132">
        <f t="shared" si="3"/>
        <v>23382.188820796611</v>
      </c>
      <c r="K18" s="21"/>
      <c r="L18" s="132" t="s">
        <v>74</v>
      </c>
      <c r="M18" s="228">
        <f t="shared" si="4"/>
        <v>118396.95560120532</v>
      </c>
    </row>
    <row r="19" spans="1:13" ht="38.25" x14ac:dyDescent="0.2">
      <c r="A19" s="101" t="s">
        <v>31</v>
      </c>
      <c r="B19" s="26">
        <v>0.41</v>
      </c>
      <c r="C19" s="97"/>
      <c r="D19" s="97">
        <v>0</v>
      </c>
      <c r="E19" s="97">
        <v>227323.35</v>
      </c>
      <c r="F19" s="97">
        <f>226296-64000</f>
        <v>162296</v>
      </c>
      <c r="G19" s="97">
        <v>272453.46999999997</v>
      </c>
      <c r="H19" s="97">
        <v>226296</v>
      </c>
      <c r="I19" s="97">
        <f t="shared" si="2"/>
        <v>65027.350000000006</v>
      </c>
      <c r="J19" s="132">
        <f t="shared" si="3"/>
        <v>32172.250734128331</v>
      </c>
      <c r="K19" s="21"/>
      <c r="L19" s="132" t="s">
        <v>136</v>
      </c>
      <c r="M19" s="228">
        <f t="shared" si="4"/>
        <v>162905.90119482516</v>
      </c>
    </row>
    <row r="20" spans="1:13" ht="38.25" x14ac:dyDescent="0.2">
      <c r="A20" s="101" t="s">
        <v>32</v>
      </c>
      <c r="B20" s="26">
        <v>1.81</v>
      </c>
      <c r="C20" s="97"/>
      <c r="D20" s="97">
        <v>0</v>
      </c>
      <c r="E20" s="97">
        <v>602629.31000000006</v>
      </c>
      <c r="F20" s="97">
        <v>671656</v>
      </c>
      <c r="G20" s="97">
        <v>568225.21</v>
      </c>
      <c r="H20" s="97">
        <v>671656</v>
      </c>
      <c r="I20" s="97">
        <f t="shared" si="2"/>
        <v>-69026.689999999944</v>
      </c>
      <c r="J20" s="132">
        <f t="shared" si="3"/>
        <v>85287.944511880341</v>
      </c>
      <c r="K20" s="21"/>
      <c r="L20" s="132" t="s">
        <v>137</v>
      </c>
      <c r="M20" s="228">
        <f t="shared" si="4"/>
        <v>431860.03915552737</v>
      </c>
    </row>
    <row r="21" spans="1:13" ht="38.25" x14ac:dyDescent="0.2">
      <c r="A21" s="101" t="s">
        <v>33</v>
      </c>
      <c r="B21" s="26">
        <v>1.85</v>
      </c>
      <c r="C21" s="97"/>
      <c r="D21" s="97">
        <v>0</v>
      </c>
      <c r="E21" s="97">
        <v>271361.09999999998</v>
      </c>
      <c r="F21" s="97">
        <v>270220</v>
      </c>
      <c r="G21" s="97">
        <v>226450.47</v>
      </c>
      <c r="H21" s="97">
        <v>270220</v>
      </c>
      <c r="I21" s="97">
        <f t="shared" si="2"/>
        <v>1141.0999999999767</v>
      </c>
      <c r="J21" s="132">
        <f t="shared" si="3"/>
        <v>38404.754059311861</v>
      </c>
      <c r="K21" s="21"/>
      <c r="L21" s="132" t="s">
        <v>132</v>
      </c>
      <c r="M21" s="228">
        <f t="shared" si="4"/>
        <v>194464.51297114466</v>
      </c>
    </row>
    <row r="22" spans="1:13" x14ac:dyDescent="0.2">
      <c r="A22" s="101" t="s">
        <v>34</v>
      </c>
      <c r="B22" s="26">
        <v>125</v>
      </c>
      <c r="C22" s="97"/>
      <c r="D22" s="97">
        <v>0</v>
      </c>
      <c r="E22" s="97">
        <v>126625</v>
      </c>
      <c r="F22" s="97">
        <v>122826</v>
      </c>
      <c r="G22" s="97">
        <v>35945.51</v>
      </c>
      <c r="H22" s="97">
        <v>122826</v>
      </c>
      <c r="I22" s="97">
        <f t="shared" si="2"/>
        <v>3799</v>
      </c>
      <c r="J22" s="132">
        <f t="shared" si="3"/>
        <v>17920.777822467426</v>
      </c>
      <c r="K22" s="21"/>
      <c r="L22" s="132" t="s">
        <v>133</v>
      </c>
      <c r="M22" s="228">
        <f t="shared" si="4"/>
        <v>90742.810797019905</v>
      </c>
    </row>
    <row r="23" spans="1:13" ht="51" x14ac:dyDescent="0.2">
      <c r="A23" s="101" t="s">
        <v>35</v>
      </c>
      <c r="B23" s="26">
        <v>1.08</v>
      </c>
      <c r="C23" s="97"/>
      <c r="D23" s="97">
        <v>0</v>
      </c>
      <c r="E23" s="97">
        <v>558485.92000000004</v>
      </c>
      <c r="F23" s="97">
        <f>562912-30000</f>
        <v>532912</v>
      </c>
      <c r="G23" s="97">
        <v>609147.41</v>
      </c>
      <c r="H23" s="97">
        <v>562912</v>
      </c>
      <c r="I23" s="97">
        <f t="shared" si="2"/>
        <v>25573.920000000042</v>
      </c>
      <c r="J23" s="132">
        <f t="shared" si="3"/>
        <v>79040.490339951182</v>
      </c>
      <c r="K23" s="21"/>
      <c r="L23" s="132" t="s">
        <v>15</v>
      </c>
      <c r="M23" s="228">
        <f t="shared" si="4"/>
        <v>400225.72297223768</v>
      </c>
    </row>
    <row r="24" spans="1:13" x14ac:dyDescent="0.2">
      <c r="A24" s="101" t="s">
        <v>36</v>
      </c>
      <c r="B24" s="26">
        <v>0</v>
      </c>
      <c r="C24" s="97"/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f t="shared" si="2"/>
        <v>0</v>
      </c>
      <c r="J24" s="132">
        <f t="shared" si="3"/>
        <v>0</v>
      </c>
      <c r="K24" s="20"/>
      <c r="L24" s="132"/>
      <c r="M24" s="228">
        <f t="shared" si="4"/>
        <v>0</v>
      </c>
    </row>
    <row r="25" spans="1:13" ht="25.5" x14ac:dyDescent="0.2">
      <c r="A25" s="101" t="s">
        <v>37</v>
      </c>
      <c r="B25" s="26">
        <v>0.96</v>
      </c>
      <c r="C25" s="97"/>
      <c r="D25" s="97">
        <v>0</v>
      </c>
      <c r="E25" s="97">
        <v>332387.05</v>
      </c>
      <c r="F25" s="97">
        <v>331800</v>
      </c>
      <c r="G25" s="97">
        <v>380635.07</v>
      </c>
      <c r="H25" s="97">
        <v>331800</v>
      </c>
      <c r="I25" s="97">
        <f t="shared" si="2"/>
        <v>587.04999999998836</v>
      </c>
      <c r="J25" s="132">
        <f t="shared" si="3"/>
        <v>47041.535827169762</v>
      </c>
      <c r="K25" s="20"/>
      <c r="L25" s="132" t="s">
        <v>15</v>
      </c>
      <c r="M25" s="228">
        <f t="shared" si="4"/>
        <v>238197.31640299779</v>
      </c>
    </row>
    <row r="26" spans="1:13" ht="25.5" x14ac:dyDescent="0.2">
      <c r="A26" s="101" t="s">
        <v>38</v>
      </c>
      <c r="B26" s="26">
        <v>1.8</v>
      </c>
      <c r="C26" s="97"/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f t="shared" si="2"/>
        <v>0</v>
      </c>
      <c r="J26" s="132">
        <f t="shared" si="3"/>
        <v>0</v>
      </c>
      <c r="K26" s="22"/>
      <c r="L26" s="132"/>
      <c r="M26" s="228">
        <f t="shared" si="4"/>
        <v>0</v>
      </c>
    </row>
    <row r="27" spans="1:13" x14ac:dyDescent="0.2">
      <c r="A27" s="101" t="s">
        <v>3</v>
      </c>
      <c r="B27" s="104">
        <v>1.0900000000000001</v>
      </c>
      <c r="C27" s="97"/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f t="shared" si="2"/>
        <v>0</v>
      </c>
      <c r="J27" s="132">
        <f t="shared" si="3"/>
        <v>0</v>
      </c>
      <c r="K27" s="23"/>
      <c r="L27" s="132"/>
      <c r="M27" s="228">
        <f t="shared" si="4"/>
        <v>0</v>
      </c>
    </row>
    <row r="28" spans="1:13" ht="25.5" x14ac:dyDescent="0.2">
      <c r="A28" s="101" t="s">
        <v>39</v>
      </c>
      <c r="B28" s="25">
        <v>2.84</v>
      </c>
      <c r="C28" s="97"/>
      <c r="D28" s="97">
        <v>0</v>
      </c>
      <c r="E28" s="97">
        <v>911538.78</v>
      </c>
      <c r="F28" s="97">
        <v>900536</v>
      </c>
      <c r="G28" s="97">
        <v>752485.74</v>
      </c>
      <c r="H28" s="97">
        <v>900536</v>
      </c>
      <c r="I28" s="97">
        <f t="shared" si="2"/>
        <v>11002.780000000028</v>
      </c>
      <c r="J28" s="132">
        <f t="shared" si="3"/>
        <v>129006.78343883921</v>
      </c>
      <c r="K28" s="24"/>
      <c r="L28" s="132" t="s">
        <v>134</v>
      </c>
      <c r="M28" s="228">
        <f t="shared" si="4"/>
        <v>653232.70323937887</v>
      </c>
    </row>
    <row r="29" spans="1:13" s="110" customFormat="1" x14ac:dyDescent="0.2">
      <c r="A29" s="127" t="s">
        <v>40</v>
      </c>
      <c r="B29" s="128"/>
      <c r="C29" s="129"/>
      <c r="D29" s="130">
        <v>0</v>
      </c>
      <c r="E29" s="130">
        <v>3288163.26</v>
      </c>
      <c r="F29" s="130"/>
      <c r="G29" s="130">
        <v>269286.96000000002</v>
      </c>
      <c r="H29" s="130">
        <v>269286.96000000002</v>
      </c>
      <c r="I29" s="130">
        <f>E29-F29</f>
        <v>3288163.26</v>
      </c>
      <c r="J29" s="130">
        <f>SUM(J31:J34)</f>
        <v>3288163.26</v>
      </c>
      <c r="K29" s="130">
        <v>0</v>
      </c>
      <c r="L29" s="129"/>
      <c r="M29" s="109">
        <f>SUM(M30:M34)</f>
        <v>2356384.4151778258</v>
      </c>
    </row>
    <row r="30" spans="1:13" x14ac:dyDescent="0.2">
      <c r="A30" s="101" t="s">
        <v>24</v>
      </c>
      <c r="B30" s="25"/>
      <c r="C30" s="98"/>
      <c r="D30" s="98"/>
      <c r="E30" s="97"/>
      <c r="F30" s="97"/>
      <c r="G30" s="97"/>
      <c r="H30" s="97"/>
      <c r="I30" s="97"/>
      <c r="J30" s="97"/>
      <c r="K30" s="98"/>
      <c r="L30" s="98"/>
      <c r="M30" s="228">
        <f t="shared" si="4"/>
        <v>0</v>
      </c>
    </row>
    <row r="31" spans="1:13" ht="17.25" customHeight="1" x14ac:dyDescent="0.2">
      <c r="A31" s="101" t="s">
        <v>41</v>
      </c>
      <c r="B31" s="25" t="s">
        <v>42</v>
      </c>
      <c r="C31" s="116">
        <v>8586.65</v>
      </c>
      <c r="D31" s="138">
        <v>0</v>
      </c>
      <c r="E31" s="99">
        <v>430078.64</v>
      </c>
      <c r="F31" s="350"/>
      <c r="G31" s="97">
        <v>35671.370000000003</v>
      </c>
      <c r="H31" s="348"/>
      <c r="I31" s="97">
        <f>E31+E32-F31</f>
        <v>2841650.79</v>
      </c>
      <c r="J31" s="116">
        <f>E31</f>
        <v>430078.64</v>
      </c>
      <c r="K31" s="346">
        <v>0</v>
      </c>
      <c r="L31" s="356" t="s">
        <v>131</v>
      </c>
      <c r="M31" s="228">
        <f t="shared" si="4"/>
        <v>308205.68337500206</v>
      </c>
    </row>
    <row r="32" spans="1:13" ht="17.25" customHeight="1" x14ac:dyDescent="0.2">
      <c r="A32" s="100" t="s">
        <v>43</v>
      </c>
      <c r="B32" s="27" t="s">
        <v>44</v>
      </c>
      <c r="C32" s="116">
        <v>5217.25</v>
      </c>
      <c r="D32" s="138">
        <v>0</v>
      </c>
      <c r="E32" s="97">
        <v>2411572.15</v>
      </c>
      <c r="F32" s="349"/>
      <c r="G32" s="97">
        <v>192714.57</v>
      </c>
      <c r="H32" s="349"/>
      <c r="I32" s="97"/>
      <c r="J32" s="116">
        <f>E32</f>
        <v>2411572.15</v>
      </c>
      <c r="K32" s="347"/>
      <c r="L32" s="357"/>
      <c r="M32" s="228">
        <f t="shared" si="4"/>
        <v>1728196.1329185588</v>
      </c>
    </row>
    <row r="33" spans="1:13" ht="20.25" customHeight="1" x14ac:dyDescent="0.2">
      <c r="A33" s="100" t="s">
        <v>45</v>
      </c>
      <c r="B33" s="25" t="s">
        <v>46</v>
      </c>
      <c r="C33" s="116">
        <v>8086.2066666666669</v>
      </c>
      <c r="D33" s="138">
        <v>0</v>
      </c>
      <c r="E33" s="97">
        <v>169810.34</v>
      </c>
      <c r="F33" s="348"/>
      <c r="G33" s="97">
        <v>15849.87</v>
      </c>
      <c r="H33" s="348"/>
      <c r="I33" s="97">
        <f>E33+E34-F33</f>
        <v>446512.47</v>
      </c>
      <c r="J33" s="116">
        <f>E33</f>
        <v>169810.34</v>
      </c>
      <c r="K33" s="346">
        <v>0</v>
      </c>
      <c r="L33" s="357"/>
      <c r="M33" s="228">
        <f t="shared" si="4"/>
        <v>121690.56311153105</v>
      </c>
    </row>
    <row r="34" spans="1:13" ht="26.25" customHeight="1" x14ac:dyDescent="0.2">
      <c r="A34" s="101" t="s">
        <v>47</v>
      </c>
      <c r="B34" s="104" t="s">
        <v>46</v>
      </c>
      <c r="C34" s="116">
        <v>16672.856666666667</v>
      </c>
      <c r="D34" s="138">
        <v>0</v>
      </c>
      <c r="E34" s="97">
        <v>276702.13</v>
      </c>
      <c r="F34" s="349"/>
      <c r="G34" s="97">
        <v>25051.15</v>
      </c>
      <c r="H34" s="349"/>
      <c r="I34" s="97"/>
      <c r="J34" s="116">
        <f>E34</f>
        <v>276702.13</v>
      </c>
      <c r="K34" s="347"/>
      <c r="L34" s="358"/>
      <c r="M34" s="228">
        <f t="shared" si="4"/>
        <v>198292.03577273371</v>
      </c>
    </row>
    <row r="35" spans="1:13" s="6" customFormat="1" ht="25.5" x14ac:dyDescent="0.2">
      <c r="A35" s="107" t="s">
        <v>49</v>
      </c>
      <c r="B35" s="111">
        <v>6.05</v>
      </c>
      <c r="C35" s="109"/>
      <c r="D35" s="97">
        <v>0</v>
      </c>
      <c r="E35" s="109">
        <v>2158435.66</v>
      </c>
      <c r="F35" s="109">
        <f>2155972.9-378000</f>
        <v>1777972.9</v>
      </c>
      <c r="G35" s="109">
        <v>1798152.29</v>
      </c>
      <c r="H35" s="109">
        <v>2155972.9</v>
      </c>
      <c r="I35" s="109">
        <f>E35-F35</f>
        <v>380462.76000000024</v>
      </c>
      <c r="J35" s="132">
        <f t="shared" ref="J35:J36" si="5">E35*$J$38/$E$38</f>
        <v>305475.58465509053</v>
      </c>
      <c r="K35" s="111"/>
      <c r="L35" s="132" t="s">
        <v>15</v>
      </c>
      <c r="M35" s="228">
        <f t="shared" si="4"/>
        <v>1546791.8555808156</v>
      </c>
    </row>
    <row r="36" spans="1:13" s="6" customFormat="1" ht="25.5" x14ac:dyDescent="0.2">
      <c r="A36" s="107" t="s">
        <v>50</v>
      </c>
      <c r="B36" s="112">
        <v>2.3599999999999999E-2</v>
      </c>
      <c r="C36" s="109"/>
      <c r="D36" s="97">
        <v>0</v>
      </c>
      <c r="E36" s="109">
        <v>244586.77</v>
      </c>
      <c r="F36" s="109">
        <v>244586.77</v>
      </c>
      <c r="G36" s="109">
        <v>185635.13</v>
      </c>
      <c r="H36" s="109">
        <v>244586.77</v>
      </c>
      <c r="I36" s="109">
        <f>E36-F36</f>
        <v>0</v>
      </c>
      <c r="J36" s="132">
        <f t="shared" si="5"/>
        <v>34615.480067008415</v>
      </c>
      <c r="K36" s="112"/>
      <c r="L36" s="132" t="s">
        <v>139</v>
      </c>
      <c r="M36" s="228">
        <f t="shared" si="4"/>
        <v>175277.32275272833</v>
      </c>
    </row>
    <row r="37" spans="1:13" s="6" customFormat="1" x14ac:dyDescent="0.2">
      <c r="A37" s="205" t="s">
        <v>141</v>
      </c>
      <c r="B37" s="102"/>
      <c r="C37" s="103"/>
      <c r="D37" s="103"/>
      <c r="E37" s="103">
        <f>SUM(E11,E29,E35:E36)</f>
        <v>14881999.999999998</v>
      </c>
      <c r="F37" s="103">
        <f>SUM(F11,F29,F35:F36)</f>
        <v>8455519.6699999999</v>
      </c>
      <c r="G37" s="103">
        <f t="shared" ref="G37:I37" si="6">SUM(G11,G29,G35:G36)</f>
        <v>10050586.75</v>
      </c>
      <c r="H37" s="103">
        <f t="shared" si="6"/>
        <v>9802559.629999999</v>
      </c>
      <c r="I37" s="103">
        <f t="shared" si="6"/>
        <v>6426480.3300000001</v>
      </c>
      <c r="J37" s="103">
        <f>SUM(J11,J29,J35:J36)</f>
        <v>4928996.9999999991</v>
      </c>
      <c r="K37" s="97">
        <v>0</v>
      </c>
      <c r="L37" s="97"/>
      <c r="M37" s="103">
        <f t="shared" ref="M37" si="7">SUM(M11,M29,M35:M36)</f>
        <v>10664833.250000002</v>
      </c>
    </row>
    <row r="38" spans="1:13" x14ac:dyDescent="0.2">
      <c r="A38" s="113"/>
      <c r="B38" s="114"/>
      <c r="C38" s="114"/>
      <c r="D38" s="114"/>
      <c r="E38" s="229">
        <f>14882000-E29</f>
        <v>11593836.74</v>
      </c>
      <c r="F38" s="229"/>
      <c r="G38" s="229"/>
      <c r="H38" s="229"/>
      <c r="I38" s="229"/>
      <c r="J38" s="229">
        <f>4928997-J29</f>
        <v>1640833.7400000002</v>
      </c>
      <c r="K38" s="115"/>
      <c r="L38" s="115"/>
      <c r="M38" s="163">
        <v>10664833.25</v>
      </c>
    </row>
    <row r="39" spans="1:13" ht="27.75" customHeight="1" x14ac:dyDescent="0.2">
      <c r="A39" s="105" t="s">
        <v>123</v>
      </c>
      <c r="B39" s="1">
        <v>0</v>
      </c>
      <c r="C39" s="1" t="s">
        <v>4</v>
      </c>
      <c r="E39" s="106"/>
    </row>
    <row r="40" spans="1:13" ht="30.75" customHeight="1" x14ac:dyDescent="0.2">
      <c r="A40" s="105" t="s">
        <v>124</v>
      </c>
      <c r="B40" s="106">
        <v>248027.12000000104</v>
      </c>
      <c r="C40" s="1" t="s">
        <v>4</v>
      </c>
      <c r="D40" s="106"/>
    </row>
    <row r="41" spans="1:13" ht="13.5" thickBot="1" x14ac:dyDescent="0.25">
      <c r="B41" s="212"/>
    </row>
    <row r="42" spans="1:13" x14ac:dyDescent="0.2">
      <c r="A42" s="241" t="s">
        <v>197</v>
      </c>
      <c r="B42" s="242"/>
      <c r="C42" s="243"/>
      <c r="D42" s="106"/>
    </row>
    <row r="43" spans="1:13" ht="38.25" x14ac:dyDescent="0.2">
      <c r="A43" s="225" t="s">
        <v>198</v>
      </c>
      <c r="B43" s="233" t="s">
        <v>206</v>
      </c>
      <c r="C43" s="234" t="s">
        <v>207</v>
      </c>
    </row>
    <row r="44" spans="1:13" ht="13.5" thickBot="1" x14ac:dyDescent="0.25">
      <c r="A44" s="226" t="s">
        <v>208</v>
      </c>
      <c r="B44" s="235">
        <v>47894.69</v>
      </c>
      <c r="C44" s="236">
        <v>66796.84</v>
      </c>
    </row>
  </sheetData>
  <mergeCells count="24">
    <mergeCell ref="A42:C42"/>
    <mergeCell ref="M9:M10"/>
    <mergeCell ref="A7:L7"/>
    <mergeCell ref="A1:L1"/>
    <mergeCell ref="I9:I10"/>
    <mergeCell ref="B9:B10"/>
    <mergeCell ref="A9:A10"/>
    <mergeCell ref="K9:K10"/>
    <mergeCell ref="E9:F9"/>
    <mergeCell ref="J9:J10"/>
    <mergeCell ref="G9:H9"/>
    <mergeCell ref="L9:L10"/>
    <mergeCell ref="L31:L34"/>
    <mergeCell ref="A3:I3"/>
    <mergeCell ref="A4:I4"/>
    <mergeCell ref="A5:I5"/>
    <mergeCell ref="C9:C10"/>
    <mergeCell ref="D9:D10"/>
    <mergeCell ref="K31:K32"/>
    <mergeCell ref="K33:K34"/>
    <mergeCell ref="F33:F34"/>
    <mergeCell ref="F31:F32"/>
    <mergeCell ref="H31:H32"/>
    <mergeCell ref="H33:H34"/>
  </mergeCells>
  <phoneticPr fontId="21" type="noConversion"/>
  <hyperlinks>
    <hyperlink ref="A1:L1" location="'адресный список'!A1" display="'адресный список'!A1"/>
    <hyperlink ref="C1" location="'адресный список'!A1" display="'адресный список'!A1"/>
  </hyperlinks>
  <pageMargins left="0.74803149606299213" right="0.74803149606299213" top="0.98425196850393704" bottom="0.98425196850393704" header="0.51181102362204722" footer="0.51181102362204722"/>
  <pageSetup paperSize="8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адресный список</vt:lpstr>
      <vt:lpstr>Комсомола 14</vt:lpstr>
      <vt:lpstr>Королева 21 к1</vt:lpstr>
      <vt:lpstr>ВШ 17 к1</vt:lpstr>
      <vt:lpstr>ВШ 17 к2</vt:lpstr>
      <vt:lpstr>ВШ 17 к3</vt:lpstr>
      <vt:lpstr>ВШ 17к4</vt:lpstr>
      <vt:lpstr>Просвещение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Ходырева Лилия Викторовна</cp:lastModifiedBy>
  <cp:lastPrinted>2015-04-15T12:36:22Z</cp:lastPrinted>
  <dcterms:created xsi:type="dcterms:W3CDTF">1996-10-08T23:32:33Z</dcterms:created>
  <dcterms:modified xsi:type="dcterms:W3CDTF">2015-04-15T12:37:51Z</dcterms:modified>
</cp:coreProperties>
</file>